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1.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E:\Users\Alex\Documents\Electronics Projects\Modular Audio\design_simulations\lm5123sim\"/>
    </mc:Choice>
  </mc:AlternateContent>
  <xr:revisionPtr revIDLastSave="0" documentId="13_ncr:1_{FB399DF7-5BCF-4AD3-A2AB-D61C8F17A6B0}" xr6:coauthVersionLast="47" xr6:coauthVersionMax="47" xr10:uidLastSave="{00000000-0000-0000-0000-000000000000}"/>
  <bookViews>
    <workbookView xWindow="-120" yWindow="-120" windowWidth="29040" windowHeight="15840" xr2:uid="{00000000-000D-0000-FFFF-FFFF00000000}"/>
  </bookViews>
  <sheets>
    <sheet name="Design Converter" sheetId="1" r:id="rId1"/>
    <sheet name="Variable_Management" sheetId="2" r:id="rId2"/>
    <sheet name="Eff_vs_IOUT" sheetId="4" r:id="rId3"/>
    <sheet name="Loop_Modeling" sheetId="5" r:id="rId4"/>
    <sheet name="Constants" sheetId="3" r:id="rId5"/>
    <sheet name="Plot_Management_Eff" sheetId="6" r:id="rId6"/>
    <sheet name="Plot_Management_Sch" sheetId="7" r:id="rId7"/>
    <sheet name="Lists" sheetId="8" r:id="rId8"/>
    <sheet name="Sheet1" sheetId="9" r:id="rId9"/>
  </sheets>
  <definedNames>
    <definedName name="Acs">Constants!$B$33</definedName>
    <definedName name="Adc">Loop_Modeling!$B$38</definedName>
    <definedName name="Adc_ea">Loop_Modeling!$B$62</definedName>
    <definedName name="ADC_VINmin">Variable_Management!$B$160</definedName>
    <definedName name="CCOMP">Variable_Management!$B$225</definedName>
    <definedName name="CCOMP_Calc">Variable_Management!$B$224</definedName>
    <definedName name="CCOMP_calc_CCM">Variable_Management!$B$189</definedName>
    <definedName name="CCOMP_CALC_DCM">Variable_Management!$B$215</definedName>
    <definedName name="CHF">Variable_Management!$B$227</definedName>
    <definedName name="CHF_calc">Variable_Management!$B$226</definedName>
    <definedName name="CHF_CALC_CCM">Variable_Management!$B$190</definedName>
    <definedName name="CHF_CALC_DCM">Variable_Management!$B$216</definedName>
    <definedName name="Comp_calc_CCM">Variable_Management!$B$189</definedName>
    <definedName name="Cout">Variable_Management!$B$110</definedName>
    <definedName name="Cout_min">Variable_Management!$B$108</definedName>
    <definedName name="D_limit_max">Constants!$B$18</definedName>
    <definedName name="D_limit_min">Constants!$B$16</definedName>
    <definedName name="D_limit_nom">Constants!$B$17</definedName>
    <definedName name="DC_DCM_max">Variable_Management!$B$39</definedName>
    <definedName name="Dc_max_IC">Variable_Management!$B$23</definedName>
    <definedName name="Dc_max_ideal">Variable_Management!$A$22</definedName>
    <definedName name="DC_rip">Variable_Management!$B$32</definedName>
    <definedName name="Dc_rip_max">Variable_Management!$B$31</definedName>
    <definedName name="Dc_VIN_max">Variable_Management!$B$71</definedName>
    <definedName name="Dc_VIN_min">Variable_Management!$B$55</definedName>
    <definedName name="Dc_VIN_nom">Variable_Management!$B$63</definedName>
    <definedName name="DC_VIN_var_DCM">Loop_Modeling!$B$70</definedName>
    <definedName name="_xlnm.Print_Area" localSheetId="0">'Design Converter'!$A$1:$Z$97</definedName>
    <definedName name="EFF_est">Variable_Management!$B$16</definedName>
    <definedName name="Eff_vs_IOUT">Plot_Management_Eff!$C$3</definedName>
    <definedName name="fcross">Variable_Management!$B$220</definedName>
    <definedName name="fcross_est">Variable_Management!$B$219</definedName>
    <definedName name="fp_ea_est">Variable_Management!$B$182</definedName>
    <definedName name="Fsw">Variable_Management!$B$10</definedName>
    <definedName name="fz_ea_est">Variable_Management!$B$181</definedName>
    <definedName name="fz_rhp">Variable_Management!$B$169</definedName>
    <definedName name="Gcomp">Constants!$B$32</definedName>
    <definedName name="Gea_mid_calc">Variable_Management!#REF!</definedName>
    <definedName name="gfs">Variable_Management!$B$243</definedName>
    <definedName name="gm_ea">Constants!$B$37</definedName>
    <definedName name="Gplant_fc_dB">Loop_Modeling!$AD$7</definedName>
    <definedName name="IIN_33">Variable_Management!$B$35</definedName>
    <definedName name="IL_avg_VIN_max">Variable_Management!$B$73</definedName>
    <definedName name="IL_avg_VIN_min">Variable_Management!$B$57</definedName>
    <definedName name="IL_avg_VIN_nom">Variable_Management!$B$65</definedName>
    <definedName name="IL_pk">Variable_Management!$B$94</definedName>
    <definedName name="IL_pk_max">Variable_Management!$B$95</definedName>
    <definedName name="ILp_VINmax">Variable_Management!$B$75</definedName>
    <definedName name="ILp_VINmin">Variable_Management!$B$59</definedName>
    <definedName name="ILp_VINnom">Variable_Management!$B$67</definedName>
    <definedName name="ILrip">Variable_Management!$B$30</definedName>
    <definedName name="ILrip_VINmax">Variable_Management!$B$74</definedName>
    <definedName name="ILrip_VINmin">Variable_Management!$B$58</definedName>
    <definedName name="ILrip_VINnom">Variable_Management!$B$66</definedName>
    <definedName name="IOUT">Variable_Management!$B$13</definedName>
    <definedName name="IOUT_VAR">Loop_Modeling!$B$17</definedName>
    <definedName name="Ipk_margin">Variable_Management!$B$78</definedName>
    <definedName name="Ipk_selected">Variable_Management!$B$80</definedName>
    <definedName name="IQ">Constants!$B$58</definedName>
    <definedName name="IRMS_COUT">Variable_Management!$B$109</definedName>
    <definedName name="Isl">Constants!$B$26</definedName>
    <definedName name="Iss">Constants!$B$47</definedName>
    <definedName name="Kd">Loop_Modeling!$B$36</definedName>
    <definedName name="Kd_VINmin">Variable_Management!$B$156</definedName>
    <definedName name="Kex">Loop_Modeling!$B$34</definedName>
    <definedName name="Kex_VINmin">Variable_Management!$B$154</definedName>
    <definedName name="Kfb">Variable_Management!$B$139</definedName>
    <definedName name="Kfb_high">Constants!$B$39</definedName>
    <definedName name="Kfb_low">Constants!$B$38</definedName>
    <definedName name="Km">Loop_Modeling!$B$35</definedName>
    <definedName name="Km_VINmin">Variable_Management!$B$155</definedName>
    <definedName name="Kslope">Variable_Management!#REF!</definedName>
    <definedName name="Lm">Variable_Management!$B$47</definedName>
    <definedName name="Lopt">Variable_Management!#REF!</definedName>
    <definedName name="Lopt_2">Variable_Management!$B$36</definedName>
    <definedName name="M_L_DCM">Variable_Management!$B$41</definedName>
    <definedName name="Np">Variable_Management!$B$17</definedName>
    <definedName name="POUT">Variable_Management!$B$15</definedName>
    <definedName name="Q">Loop_Modeling!$B$52</definedName>
    <definedName name="Q_VINmin">Variable_Management!$B$177</definedName>
    <definedName name="Qg_tot">Variable_Management!$B$238</definedName>
    <definedName name="Qg_tot_HS">Variable_Management!$B$255</definedName>
    <definedName name="Qgd">Variable_Management!$B$239</definedName>
    <definedName name="Qgs">Variable_Management!$B$240</definedName>
    <definedName name="Qrr">Variable_Management!$B$263</definedName>
    <definedName name="R_cs">Variable_Management!$B$90</definedName>
    <definedName name="R_sl">Variable_Management!$B$91</definedName>
    <definedName name="RCOMP">Variable_Management!$B$223</definedName>
    <definedName name="RCOMP_Calc">Variable_Management!$B$222</definedName>
    <definedName name="Rcomp_calc_CCM">Variable_Management!$B$188</definedName>
    <definedName name="RCOMP_CALC_DCM">Variable_Management!$B$214</definedName>
    <definedName name="Rcs_max">Variable_Management!$B$83</definedName>
    <definedName name="Rcs_w_sl">Variable_Management!#REF!</definedName>
    <definedName name="Rcs_wo_sl">Variable_Management!$B$84</definedName>
    <definedName name="Rdcr">Variable_Management!$B$48</definedName>
    <definedName name="RDS_on">Variable_Management!$B$237</definedName>
    <definedName name="RDS_on_HS">Variable_Management!$B$254</definedName>
    <definedName name="Resr">Variable_Management!$B$111</definedName>
    <definedName name="RFBB">Variable_Management!$B$147</definedName>
    <definedName name="RFBB_calc">Variable_Management!$B$146</definedName>
    <definedName name="RFBT">Variable_Management!$B$145</definedName>
    <definedName name="Rgate">Variable_Management!$B$241</definedName>
    <definedName name="Rmax">Variable_Management!$B$140</definedName>
    <definedName name="Rmax_high">Constants!$B$41</definedName>
    <definedName name="Rmax_low">Constants!$B$40</definedName>
    <definedName name="Rmin">Variable_Management!$B$141</definedName>
    <definedName name="Rmin_high">Constants!$B$43</definedName>
    <definedName name="Rmin_low">Constants!$B$42</definedName>
    <definedName name="ROUT">Variable_Management!$B$14</definedName>
    <definedName name="Rsl_int">Constants!$B$27</definedName>
    <definedName name="RT">Variable_Management!$B$11</definedName>
    <definedName name="Ruvlo_bottom_calc">Variable_Management!$B$129</definedName>
    <definedName name="Ruvlo_top">Variable_Management!$B$128</definedName>
    <definedName name="Ruvlo_top_calc">Variable_Management!$B$127</definedName>
    <definedName name="SCH">INDIRECT(Plot_Management_Sch!$A$1)</definedName>
    <definedName name="SCH_1">Plot_Management_Sch!$B$2</definedName>
    <definedName name="SCH_2">Plot_Management_Sch!$B$5</definedName>
    <definedName name="SCH_3">Plot_Management_Sch!$B$7</definedName>
    <definedName name="Se_VINmin">Variable_Management!$B$173</definedName>
    <definedName name="Sn_VINmin">Variable_Management!$B$174</definedName>
    <definedName name="t_dead">Constants!$B$24</definedName>
    <definedName name="tf_sw">Variable_Management!$B$250</definedName>
    <definedName name="tr_sw">Variable_Management!$B$249</definedName>
    <definedName name="tss">Variable_Management!$B$118</definedName>
    <definedName name="UV_fall">Constants!$B$51</definedName>
    <definedName name="UV_I_hyst">Constants!$B$52</definedName>
    <definedName name="UV_rise">Constants!$B$50</definedName>
    <definedName name="Vcc">Constants!$B$55</definedName>
    <definedName name="Vcl">Constants!$B$30</definedName>
    <definedName name="Vd_rect">Variable_Management!$B$264</definedName>
    <definedName name="VIN_33">Variable_Management!$B$33</definedName>
    <definedName name="VIN_max">Variable_Management!$B$9</definedName>
    <definedName name="VIN_min">Variable_Management!$B$7</definedName>
    <definedName name="VIN_nom">Variable_Management!$B$8</definedName>
    <definedName name="VIN_op_max">Constants!$B$62</definedName>
    <definedName name="VIN_op_min">Constants!$B$61</definedName>
    <definedName name="VIN_var">Variable_Management!$B$8</definedName>
    <definedName name="VOUT">Variable_Management!$B$12</definedName>
    <definedName name="VOUT_range">Variable_Management!$B$19</definedName>
    <definedName name="Vout_rip_sel">Variable_Management!$B$106</definedName>
    <definedName name="Vref">Constants!$B$36</definedName>
    <definedName name="Vsl">Constants!$B$28</definedName>
    <definedName name="Vth">Variable_Management!$B$244</definedName>
    <definedName name="VTRK">Variable_Management!$B$142</definedName>
    <definedName name="Vuvlo_off">Variable_Management!$B$123</definedName>
    <definedName name="Vuvlo_on">Variable_Management!$B$122</definedName>
    <definedName name="wp_lf">Loop_Modeling!$B$39</definedName>
    <definedName name="wp_lf_DCM">Loop_Modeling!$B$73</definedName>
    <definedName name="wp_lf_VINmin">Variable_Management!$B$162</definedName>
    <definedName name="wp0_ea">Loop_Modeling!$B$64</definedName>
    <definedName name="wp1_ea">Loop_Modeling!$B$65</definedName>
    <definedName name="wsl">Loop_Modeling!$B$51</definedName>
    <definedName name="wsl_VINmin">Variable_Management!$B$176</definedName>
    <definedName name="wz_ea">Loop_Modeling!$B$63</definedName>
    <definedName name="wz_esr">Loop_Modeling!$B$45</definedName>
    <definedName name="wz_esr_VINmin">Variable_Management!$B$165</definedName>
    <definedName name="wz_rhp">Loop_Modeling!$B$42</definedName>
    <definedName name="wz_RHP_VINmin">Variable_Management!$B$168</definedName>
    <definedName name="wz1_dcm">Loop_Modeling!$B$75</definedName>
    <definedName name="wz2_dcm">Loop_Modeling!$B$77</definedName>
  </definedNames>
  <calcPr calcId="181029"/>
</workbook>
</file>

<file path=xl/calcChain.xml><?xml version="1.0" encoding="utf-8"?>
<calcChain xmlns="http://schemas.openxmlformats.org/spreadsheetml/2006/main">
  <c r="A1" i="7" l="1"/>
  <c r="B78" i="2" l="1"/>
  <c r="B24" i="3" l="1"/>
  <c r="B264" i="2"/>
  <c r="B263" i="2"/>
  <c r="B20" i="2"/>
  <c r="B8" i="2"/>
  <c r="B12" i="2"/>
  <c r="R15" i="4" s="1"/>
  <c r="B7" i="2"/>
  <c r="B3" i="8" s="1"/>
  <c r="B10" i="2"/>
  <c r="B19" i="3" s="1"/>
  <c r="B20" i="3" s="1"/>
  <c r="B23" i="2" s="1"/>
  <c r="H16" i="1" s="1"/>
  <c r="B12" i="3"/>
  <c r="B254" i="2"/>
  <c r="R21" i="4"/>
  <c r="R29" i="4"/>
  <c r="R37" i="4"/>
  <c r="R42" i="4"/>
  <c r="R43" i="4"/>
  <c r="R46" i="4"/>
  <c r="R47" i="4"/>
  <c r="R135" i="4"/>
  <c r="R141" i="4"/>
  <c r="R142" i="4"/>
  <c r="B244" i="2"/>
  <c r="B256" i="2"/>
  <c r="B257" i="2"/>
  <c r="B258" i="2"/>
  <c r="B261" i="2"/>
  <c r="B255" i="2"/>
  <c r="B262" i="2"/>
  <c r="E143" i="2"/>
  <c r="B128" i="2"/>
  <c r="B123" i="2"/>
  <c r="B122" i="2"/>
  <c r="B52" i="3"/>
  <c r="B39" i="2"/>
  <c r="F5" i="8"/>
  <c r="F4" i="8"/>
  <c r="F3" i="8"/>
  <c r="B37" i="3"/>
  <c r="B29" i="5"/>
  <c r="B58" i="3"/>
  <c r="B47" i="3"/>
  <c r="B2" i="6"/>
  <c r="B245" i="2"/>
  <c r="B241" i="2"/>
  <c r="B240" i="2"/>
  <c r="B239" i="2"/>
  <c r="B238" i="2"/>
  <c r="B237" i="2"/>
  <c r="B126" i="2"/>
  <c r="B125" i="2"/>
  <c r="B124" i="2"/>
  <c r="G127" i="2" s="1"/>
  <c r="B118" i="2"/>
  <c r="B116" i="2"/>
  <c r="B220" i="2"/>
  <c r="B180" i="2" s="1"/>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30" i="5"/>
  <c r="B145" i="2"/>
  <c r="B56" i="5" s="1"/>
  <c r="B147" i="2"/>
  <c r="B57" i="5" s="1"/>
  <c r="B225" i="2"/>
  <c r="B227" i="2"/>
  <c r="B60" i="5" s="1"/>
  <c r="B223" i="2"/>
  <c r="B27" i="5"/>
  <c r="B111" i="2"/>
  <c r="B110" i="2"/>
  <c r="B96" i="2"/>
  <c r="B90" i="2"/>
  <c r="B25" i="5" s="1"/>
  <c r="B26" i="3"/>
  <c r="B28" i="5" s="1"/>
  <c r="B26" i="5"/>
  <c r="B48" i="2"/>
  <c r="B22" i="3"/>
  <c r="B30" i="2"/>
  <c r="B14" i="3"/>
  <c r="B10" i="3"/>
  <c r="B9" i="2"/>
  <c r="B12" i="5" s="1"/>
  <c r="B106" i="2"/>
  <c r="M8" i="4"/>
  <c r="B170" i="2"/>
  <c r="B249" i="2" l="1"/>
  <c r="B250" i="2"/>
  <c r="B130" i="2"/>
  <c r="B131" i="2"/>
  <c r="T8" i="4"/>
  <c r="AT8" i="4" s="1"/>
  <c r="R156" i="4"/>
  <c r="R150" i="4"/>
  <c r="R149" i="4"/>
  <c r="B45" i="5"/>
  <c r="T56" i="5" s="1"/>
  <c r="U56" i="5" s="1"/>
  <c r="B11" i="2"/>
  <c r="H14" i="1" s="1"/>
  <c r="T9" i="4"/>
  <c r="AT9" i="4" s="1"/>
  <c r="T12" i="4"/>
  <c r="AT12" i="4" s="1"/>
  <c r="O9" i="4"/>
  <c r="B16" i="5"/>
  <c r="P15" i="5" s="1"/>
  <c r="T56" i="4"/>
  <c r="AT56" i="4" s="1"/>
  <c r="B4" i="8"/>
  <c r="B11" i="5"/>
  <c r="O7" i="5"/>
  <c r="B205" i="2"/>
  <c r="H54" i="1"/>
  <c r="B135" i="2" s="1"/>
  <c r="J49" i="5"/>
  <c r="T70" i="4"/>
  <c r="AT70" i="4" s="1"/>
  <c r="T62" i="4"/>
  <c r="AT62" i="4" s="1"/>
  <c r="T59" i="4"/>
  <c r="AT59" i="4" s="1"/>
  <c r="R110" i="4"/>
  <c r="R111" i="4"/>
  <c r="R130" i="4"/>
  <c r="R118" i="4"/>
  <c r="R112" i="4"/>
  <c r="R88" i="4"/>
  <c r="R109" i="4"/>
  <c r="R91" i="4"/>
  <c r="R90" i="4"/>
  <c r="R98" i="4"/>
  <c r="R89" i="4"/>
  <c r="R82" i="4"/>
  <c r="R80" i="4"/>
  <c r="R92" i="4"/>
  <c r="R10" i="4"/>
  <c r="R139" i="4"/>
  <c r="R138" i="4"/>
  <c r="R140" i="4"/>
  <c r="R137" i="4"/>
  <c r="R78" i="4"/>
  <c r="R136" i="4"/>
  <c r="R134" i="4"/>
  <c r="R79" i="4"/>
  <c r="R117" i="4"/>
  <c r="R116" i="4"/>
  <c r="R63" i="4"/>
  <c r="R115" i="4"/>
  <c r="R114" i="4"/>
  <c r="R76" i="4"/>
  <c r="R113" i="4"/>
  <c r="R102" i="4"/>
  <c r="R75" i="4"/>
  <c r="R133" i="4"/>
  <c r="R101" i="4"/>
  <c r="R74" i="4"/>
  <c r="R7" i="4"/>
  <c r="R132" i="4"/>
  <c r="R100" i="4"/>
  <c r="R157" i="4"/>
  <c r="R131" i="4"/>
  <c r="R99" i="4"/>
  <c r="R64" i="4"/>
  <c r="B19" i="2"/>
  <c r="B139" i="2" s="1"/>
  <c r="R155" i="4"/>
  <c r="R129" i="4"/>
  <c r="R97" i="4"/>
  <c r="R154" i="4"/>
  <c r="R122" i="4"/>
  <c r="R96" i="4"/>
  <c r="R62" i="4"/>
  <c r="R153" i="4"/>
  <c r="R121" i="4"/>
  <c r="R95" i="4"/>
  <c r="R59" i="4"/>
  <c r="R152" i="4"/>
  <c r="R120" i="4"/>
  <c r="R94" i="4"/>
  <c r="R151" i="4"/>
  <c r="R119" i="4"/>
  <c r="R93" i="4"/>
  <c r="B207" i="2"/>
  <c r="B210" i="2" s="1"/>
  <c r="B48" i="5"/>
  <c r="R147" i="4"/>
  <c r="R127" i="4"/>
  <c r="R107" i="4"/>
  <c r="R87" i="4"/>
  <c r="R148" i="4"/>
  <c r="R128" i="4"/>
  <c r="R108" i="4"/>
  <c r="R58" i="4"/>
  <c r="R146" i="4"/>
  <c r="R126" i="4"/>
  <c r="R106" i="4"/>
  <c r="R86" i="4"/>
  <c r="R145" i="4"/>
  <c r="R125" i="4"/>
  <c r="R105" i="4"/>
  <c r="R85" i="4"/>
  <c r="R54" i="4"/>
  <c r="R55" i="4"/>
  <c r="R144" i="4"/>
  <c r="R124" i="4"/>
  <c r="R104" i="4"/>
  <c r="R84" i="4"/>
  <c r="R51" i="4"/>
  <c r="B19" i="5"/>
  <c r="R143" i="4"/>
  <c r="R123" i="4"/>
  <c r="R103" i="4"/>
  <c r="R83" i="4"/>
  <c r="R50" i="4"/>
  <c r="B129" i="2"/>
  <c r="O8" i="5"/>
  <c r="B127" i="2"/>
  <c r="H48" i="1" s="1"/>
  <c r="B13" i="5"/>
  <c r="B51" i="5"/>
  <c r="B176" i="2"/>
  <c r="B173" i="2"/>
  <c r="T139" i="4"/>
  <c r="AT139" i="4" s="1"/>
  <c r="T122" i="4"/>
  <c r="AT122" i="4" s="1"/>
  <c r="T138" i="4"/>
  <c r="AT138" i="4" s="1"/>
  <c r="T123" i="4"/>
  <c r="AT123" i="4" s="1"/>
  <c r="T154" i="4"/>
  <c r="AT154" i="4" s="1"/>
  <c r="T151" i="4"/>
  <c r="AT151" i="4" s="1"/>
  <c r="T146" i="4"/>
  <c r="AT146" i="4" s="1"/>
  <c r="T143" i="4"/>
  <c r="AT143" i="4" s="1"/>
  <c r="T134" i="4"/>
  <c r="AT134" i="4" s="1"/>
  <c r="T127" i="4"/>
  <c r="AT127" i="4" s="1"/>
  <c r="T118" i="4"/>
  <c r="AT118" i="4" s="1"/>
  <c r="T100" i="4"/>
  <c r="AT100" i="4" s="1"/>
  <c r="T93" i="4"/>
  <c r="AT93" i="4" s="1"/>
  <c r="T46" i="4"/>
  <c r="AT46" i="4" s="1"/>
  <c r="T40" i="4"/>
  <c r="AT40" i="4" s="1"/>
  <c r="T22" i="4"/>
  <c r="AT22" i="4" s="1"/>
  <c r="T155" i="4"/>
  <c r="AT155" i="4" s="1"/>
  <c r="T150" i="4"/>
  <c r="AT150" i="4" s="1"/>
  <c r="T147" i="4"/>
  <c r="AT147" i="4" s="1"/>
  <c r="T109" i="4"/>
  <c r="AT109" i="4" s="1"/>
  <c r="T84" i="4"/>
  <c r="AT84" i="4" s="1"/>
  <c r="T80" i="4"/>
  <c r="AT80" i="4" s="1"/>
  <c r="T76" i="4"/>
  <c r="AT76" i="4" s="1"/>
  <c r="T43" i="4"/>
  <c r="AT43" i="4" s="1"/>
  <c r="T37" i="4"/>
  <c r="AT37" i="4" s="1"/>
  <c r="T19" i="4"/>
  <c r="AT19" i="4" s="1"/>
  <c r="T7" i="4"/>
  <c r="AT7" i="4" s="1"/>
  <c r="T132" i="4"/>
  <c r="AT132" i="4" s="1"/>
  <c r="T129" i="4"/>
  <c r="AT129" i="4" s="1"/>
  <c r="T116" i="4"/>
  <c r="AT116" i="4" s="1"/>
  <c r="T113" i="4"/>
  <c r="AT113" i="4" s="1"/>
  <c r="T107" i="4"/>
  <c r="AT107" i="4" s="1"/>
  <c r="T91" i="4"/>
  <c r="AT91" i="4" s="1"/>
  <c r="T74" i="4"/>
  <c r="AT74" i="4" s="1"/>
  <c r="T64" i="4"/>
  <c r="AT64" i="4" s="1"/>
  <c r="T51" i="4"/>
  <c r="AT51" i="4" s="1"/>
  <c r="T33" i="4"/>
  <c r="AT33" i="4" s="1"/>
  <c r="T141" i="4"/>
  <c r="AT141" i="4" s="1"/>
  <c r="T136" i="4"/>
  <c r="AT136" i="4" s="1"/>
  <c r="T125" i="4"/>
  <c r="AT125" i="4" s="1"/>
  <c r="T120" i="4"/>
  <c r="AT120" i="4" s="1"/>
  <c r="T102" i="4"/>
  <c r="AT102" i="4" s="1"/>
  <c r="T86" i="4"/>
  <c r="AT86" i="4" s="1"/>
  <c r="T67" i="4"/>
  <c r="AT67" i="4" s="1"/>
  <c r="T54" i="4"/>
  <c r="AT54" i="4" s="1"/>
  <c r="T48" i="4"/>
  <c r="AT48" i="4" s="1"/>
  <c r="T26" i="4"/>
  <c r="AT26" i="4" s="1"/>
  <c r="T15" i="4"/>
  <c r="AT15" i="4" s="1"/>
  <c r="B64" i="5"/>
  <c r="AT56" i="5" s="1"/>
  <c r="B10" i="5"/>
  <c r="B165" i="2"/>
  <c r="B166" i="2" s="1"/>
  <c r="B119" i="2"/>
  <c r="H43" i="1" s="1"/>
  <c r="B63" i="5"/>
  <c r="AZ20" i="5" s="1"/>
  <c r="B58" i="5"/>
  <c r="B65" i="5"/>
  <c r="T156" i="4"/>
  <c r="AT156" i="4" s="1"/>
  <c r="T152" i="4"/>
  <c r="AT152" i="4" s="1"/>
  <c r="T148" i="4"/>
  <c r="AT148" i="4" s="1"/>
  <c r="T144" i="4"/>
  <c r="AT144" i="4" s="1"/>
  <c r="T137" i="4"/>
  <c r="AT137" i="4" s="1"/>
  <c r="T135" i="4"/>
  <c r="AT135" i="4" s="1"/>
  <c r="T130" i="4"/>
  <c r="AT130" i="4" s="1"/>
  <c r="T128" i="4"/>
  <c r="AT128" i="4" s="1"/>
  <c r="T121" i="4"/>
  <c r="AT121" i="4" s="1"/>
  <c r="T119" i="4"/>
  <c r="AT119" i="4" s="1"/>
  <c r="T114" i="4"/>
  <c r="AT114" i="4" s="1"/>
  <c r="T112" i="4"/>
  <c r="AT112" i="4" s="1"/>
  <c r="T105" i="4"/>
  <c r="AT105" i="4" s="1"/>
  <c r="T103" i="4"/>
  <c r="AT103" i="4" s="1"/>
  <c r="T98" i="4"/>
  <c r="AT98" i="4" s="1"/>
  <c r="T96" i="4"/>
  <c r="AT96" i="4" s="1"/>
  <c r="T89" i="4"/>
  <c r="AT89" i="4" s="1"/>
  <c r="T87" i="4"/>
  <c r="AT87" i="4" s="1"/>
  <c r="T82" i="4"/>
  <c r="AT82" i="4" s="1"/>
  <c r="T78" i="4"/>
  <c r="AT78" i="4" s="1"/>
  <c r="T73" i="4"/>
  <c r="AT73" i="4" s="1"/>
  <c r="T66" i="4"/>
  <c r="AT66" i="4" s="1"/>
  <c r="T61" i="4"/>
  <c r="AT61" i="4" s="1"/>
  <c r="T53" i="4"/>
  <c r="AT53" i="4" s="1"/>
  <c r="T45" i="4"/>
  <c r="AT45" i="4" s="1"/>
  <c r="T39" i="4"/>
  <c r="AT39" i="4" s="1"/>
  <c r="T36" i="4"/>
  <c r="AT36" i="4" s="1"/>
  <c r="T32" i="4"/>
  <c r="AT32" i="4" s="1"/>
  <c r="T29" i="4"/>
  <c r="AT29" i="4" s="1"/>
  <c r="T25" i="4"/>
  <c r="AT25" i="4" s="1"/>
  <c r="T18" i="4"/>
  <c r="AT18" i="4" s="1"/>
  <c r="T14" i="4"/>
  <c r="AT14" i="4" s="1"/>
  <c r="T11" i="4"/>
  <c r="AT11" i="4" s="1"/>
  <c r="T157" i="4"/>
  <c r="AT157" i="4" s="1"/>
  <c r="T153" i="4"/>
  <c r="AT153" i="4" s="1"/>
  <c r="T149" i="4"/>
  <c r="AT149" i="4" s="1"/>
  <c r="T145" i="4"/>
  <c r="AT145" i="4" s="1"/>
  <c r="T142" i="4"/>
  <c r="AT142" i="4" s="1"/>
  <c r="T140" i="4"/>
  <c r="AT140" i="4" s="1"/>
  <c r="T133" i="4"/>
  <c r="AT133" i="4" s="1"/>
  <c r="T131" i="4"/>
  <c r="AT131" i="4" s="1"/>
  <c r="T126" i="4"/>
  <c r="AT126" i="4" s="1"/>
  <c r="T124" i="4"/>
  <c r="AT124" i="4" s="1"/>
  <c r="T117" i="4"/>
  <c r="AT117" i="4" s="1"/>
  <c r="T115" i="4"/>
  <c r="AT115" i="4" s="1"/>
  <c r="T110" i="4"/>
  <c r="AT110" i="4" s="1"/>
  <c r="T108" i="4"/>
  <c r="AT108" i="4" s="1"/>
  <c r="T101" i="4"/>
  <c r="AT101" i="4" s="1"/>
  <c r="T99" i="4"/>
  <c r="AT99" i="4" s="1"/>
  <c r="T94" i="4"/>
  <c r="AT94" i="4" s="1"/>
  <c r="T92" i="4"/>
  <c r="AT92" i="4" s="1"/>
  <c r="T85" i="4"/>
  <c r="AT85" i="4" s="1"/>
  <c r="T83" i="4"/>
  <c r="AT83" i="4" s="1"/>
  <c r="T81" i="4"/>
  <c r="AT81" i="4" s="1"/>
  <c r="T77" i="4"/>
  <c r="AT77" i="4" s="1"/>
  <c r="T75" i="4"/>
  <c r="AT75" i="4" s="1"/>
  <c r="T72" i="4"/>
  <c r="AT72" i="4" s="1"/>
  <c r="T69" i="4"/>
  <c r="AT69" i="4" s="1"/>
  <c r="T65" i="4"/>
  <c r="AT65" i="4" s="1"/>
  <c r="T63" i="4"/>
  <c r="AT63" i="4" s="1"/>
  <c r="T60" i="4"/>
  <c r="AT60" i="4" s="1"/>
  <c r="T58" i="4"/>
  <c r="AT58" i="4" s="1"/>
  <c r="T55" i="4"/>
  <c r="AT55" i="4" s="1"/>
  <c r="T52" i="4"/>
  <c r="AT52" i="4" s="1"/>
  <c r="T50" i="4"/>
  <c r="AT50" i="4" s="1"/>
  <c r="T47" i="4"/>
  <c r="AT47" i="4" s="1"/>
  <c r="T44" i="4"/>
  <c r="AT44" i="4" s="1"/>
  <c r="T42" i="4"/>
  <c r="AT42" i="4" s="1"/>
  <c r="T38" i="4"/>
  <c r="AT38" i="4" s="1"/>
  <c r="T35" i="4"/>
  <c r="AT35" i="4" s="1"/>
  <c r="T31" i="4"/>
  <c r="AT31" i="4" s="1"/>
  <c r="T28" i="4"/>
  <c r="AT28" i="4" s="1"/>
  <c r="T24" i="4"/>
  <c r="AT24" i="4" s="1"/>
  <c r="T21" i="4"/>
  <c r="AT21" i="4" s="1"/>
  <c r="T17" i="4"/>
  <c r="AT17" i="4" s="1"/>
  <c r="T111" i="4"/>
  <c r="AT111" i="4" s="1"/>
  <c r="T106" i="4"/>
  <c r="AT106" i="4" s="1"/>
  <c r="T104" i="4"/>
  <c r="AT104" i="4" s="1"/>
  <c r="T97" i="4"/>
  <c r="AT97" i="4" s="1"/>
  <c r="T95" i="4"/>
  <c r="AT95" i="4" s="1"/>
  <c r="T90" i="4"/>
  <c r="AT90" i="4" s="1"/>
  <c r="T88" i="4"/>
  <c r="AT88" i="4" s="1"/>
  <c r="T79" i="4"/>
  <c r="AT79" i="4" s="1"/>
  <c r="T71" i="4"/>
  <c r="AT71" i="4" s="1"/>
  <c r="T68" i="4"/>
  <c r="AT68" i="4" s="1"/>
  <c r="T57" i="4"/>
  <c r="AT57" i="4" s="1"/>
  <c r="T49" i="4"/>
  <c r="AT49" i="4" s="1"/>
  <c r="T41" i="4"/>
  <c r="AT41" i="4" s="1"/>
  <c r="T34" i="4"/>
  <c r="AT34" i="4" s="1"/>
  <c r="T30" i="4"/>
  <c r="AT30" i="4" s="1"/>
  <c r="T27" i="4"/>
  <c r="AT27" i="4" s="1"/>
  <c r="T23" i="4"/>
  <c r="AT23" i="4" s="1"/>
  <c r="T20" i="4"/>
  <c r="AT20" i="4" s="1"/>
  <c r="T16" i="4"/>
  <c r="AT16" i="4" s="1"/>
  <c r="T13" i="4"/>
  <c r="AT13" i="4" s="1"/>
  <c r="T10" i="4"/>
  <c r="AT10" i="4" s="1"/>
  <c r="R72" i="4"/>
  <c r="R70" i="4"/>
  <c r="R68" i="4"/>
  <c r="R66" i="4"/>
  <c r="R23" i="4"/>
  <c r="R71" i="4"/>
  <c r="R67" i="4"/>
  <c r="R31" i="4"/>
  <c r="R8" i="4"/>
  <c r="B32" i="2"/>
  <c r="B33" i="2" s="1"/>
  <c r="R38" i="4"/>
  <c r="R33" i="4"/>
  <c r="R25" i="4"/>
  <c r="R17" i="4"/>
  <c r="R12" i="4"/>
  <c r="R40" i="4"/>
  <c r="R35" i="4"/>
  <c r="R27" i="4"/>
  <c r="R19" i="4"/>
  <c r="K8" i="2"/>
  <c r="B199" i="2"/>
  <c r="B200" i="2" s="1"/>
  <c r="T24" i="5"/>
  <c r="U24" i="5" s="1"/>
  <c r="T64" i="5"/>
  <c r="T30" i="5"/>
  <c r="T105" i="5"/>
  <c r="T117" i="5"/>
  <c r="T181" i="5"/>
  <c r="V181" i="5" s="1"/>
  <c r="T516" i="5"/>
  <c r="T475" i="5"/>
  <c r="U475" i="5" s="1"/>
  <c r="B5" i="8"/>
  <c r="E28" i="2"/>
  <c r="B59" i="5"/>
  <c r="G126" i="2"/>
  <c r="B148" i="2"/>
  <c r="B75" i="5"/>
  <c r="AJ56" i="5" s="1"/>
  <c r="R60" i="4"/>
  <c r="R56" i="4"/>
  <c r="R52" i="4"/>
  <c r="R48" i="4"/>
  <c r="R44" i="4"/>
  <c r="R36" i="4"/>
  <c r="R34" i="4"/>
  <c r="R32" i="4"/>
  <c r="R30" i="4"/>
  <c r="R13" i="4"/>
  <c r="R11" i="4"/>
  <c r="R9" i="4"/>
  <c r="R81" i="4"/>
  <c r="R77" i="4"/>
  <c r="R73" i="4"/>
  <c r="R69" i="4"/>
  <c r="R65" i="4"/>
  <c r="R61" i="4"/>
  <c r="R57" i="4"/>
  <c r="R53" i="4"/>
  <c r="R49" i="4"/>
  <c r="R45" i="4"/>
  <c r="R41" i="4"/>
  <c r="R39" i="4"/>
  <c r="R28" i="4"/>
  <c r="R26" i="4"/>
  <c r="R24" i="4"/>
  <c r="R22" i="4"/>
  <c r="R20" i="4"/>
  <c r="R18" i="4"/>
  <c r="R16" i="4"/>
  <c r="R14" i="4"/>
  <c r="B22" i="2"/>
  <c r="AS10" i="4"/>
  <c r="AS34" i="4"/>
  <c r="AS46" i="4"/>
  <c r="AS54" i="4"/>
  <c r="AS58" i="4"/>
  <c r="AS66" i="4"/>
  <c r="AS74" i="4"/>
  <c r="AS82" i="4"/>
  <c r="AS90" i="4"/>
  <c r="AS98" i="4"/>
  <c r="AS102" i="4"/>
  <c r="AS110" i="4"/>
  <c r="AS118" i="4"/>
  <c r="AS126" i="4"/>
  <c r="AS134" i="4"/>
  <c r="AS142" i="4"/>
  <c r="AS150" i="4"/>
  <c r="AS7" i="4"/>
  <c r="AS148" i="4"/>
  <c r="AS11" i="4"/>
  <c r="AS15" i="4"/>
  <c r="AS19" i="4"/>
  <c r="AS23" i="4"/>
  <c r="AS27" i="4"/>
  <c r="AS31" i="4"/>
  <c r="AS35" i="4"/>
  <c r="AS39" i="4"/>
  <c r="AS43" i="4"/>
  <c r="AS47" i="4"/>
  <c r="AS51" i="4"/>
  <c r="AS55" i="4"/>
  <c r="AS59" i="4"/>
  <c r="AS63" i="4"/>
  <c r="AS67" i="4"/>
  <c r="AS71" i="4"/>
  <c r="AS75" i="4"/>
  <c r="AS79" i="4"/>
  <c r="AS83" i="4"/>
  <c r="AS87" i="4"/>
  <c r="AS91" i="4"/>
  <c r="AS95" i="4"/>
  <c r="AS99" i="4"/>
  <c r="AS103" i="4"/>
  <c r="AS107" i="4"/>
  <c r="AS111" i="4"/>
  <c r="AS115" i="4"/>
  <c r="AS119" i="4"/>
  <c r="AS123" i="4"/>
  <c r="AS127" i="4"/>
  <c r="AS131" i="4"/>
  <c r="AS135" i="4"/>
  <c r="AS139" i="4"/>
  <c r="AS143" i="4"/>
  <c r="AS147" i="4"/>
  <c r="AS151" i="4"/>
  <c r="AS155" i="4"/>
  <c r="AS12" i="4"/>
  <c r="AS16" i="4"/>
  <c r="AS20" i="4"/>
  <c r="AS24" i="4"/>
  <c r="AS28" i="4"/>
  <c r="AS36" i="4"/>
  <c r="AS40" i="4"/>
  <c r="AS48" i="4"/>
  <c r="AS56" i="4"/>
  <c r="AS60" i="4"/>
  <c r="AS68" i="4"/>
  <c r="AS76" i="4"/>
  <c r="AS84" i="4"/>
  <c r="AS88" i="4"/>
  <c r="AS96" i="4"/>
  <c r="AS104" i="4"/>
  <c r="AS108" i="4"/>
  <c r="AS116" i="4"/>
  <c r="AS124" i="4"/>
  <c r="AS128" i="4"/>
  <c r="AS136" i="4"/>
  <c r="AS152" i="4"/>
  <c r="AS8" i="4"/>
  <c r="AS32" i="4"/>
  <c r="AS44" i="4"/>
  <c r="AS52" i="4"/>
  <c r="AS64" i="4"/>
  <c r="AS72" i="4"/>
  <c r="AS80" i="4"/>
  <c r="AS92" i="4"/>
  <c r="AS100" i="4"/>
  <c r="AS112" i="4"/>
  <c r="AS120" i="4"/>
  <c r="AS132" i="4"/>
  <c r="AS144" i="4"/>
  <c r="AS9" i="4"/>
  <c r="AS13" i="4"/>
  <c r="AS17" i="4"/>
  <c r="AS21" i="4"/>
  <c r="AS25" i="4"/>
  <c r="AS29" i="4"/>
  <c r="AS33" i="4"/>
  <c r="AS37" i="4"/>
  <c r="AS41" i="4"/>
  <c r="AS45" i="4"/>
  <c r="AS49" i="4"/>
  <c r="AS53" i="4"/>
  <c r="AS57" i="4"/>
  <c r="AS61" i="4"/>
  <c r="AS65" i="4"/>
  <c r="AS69" i="4"/>
  <c r="AS73" i="4"/>
  <c r="AS77" i="4"/>
  <c r="AS81" i="4"/>
  <c r="AS85" i="4"/>
  <c r="AS89" i="4"/>
  <c r="AS93" i="4"/>
  <c r="AS97" i="4"/>
  <c r="AS101" i="4"/>
  <c r="AS105" i="4"/>
  <c r="AS109" i="4"/>
  <c r="AS113" i="4"/>
  <c r="AS117" i="4"/>
  <c r="AS121" i="4"/>
  <c r="AS125" i="4"/>
  <c r="AS129" i="4"/>
  <c r="AS133" i="4"/>
  <c r="AS137" i="4"/>
  <c r="AS141" i="4"/>
  <c r="AS145" i="4"/>
  <c r="AS149" i="4"/>
  <c r="AS153" i="4"/>
  <c r="AS157" i="4"/>
  <c r="AS14" i="4"/>
  <c r="AS18" i="4"/>
  <c r="AS22" i="4"/>
  <c r="AS26" i="4"/>
  <c r="AS30" i="4"/>
  <c r="AS38" i="4"/>
  <c r="AS42" i="4"/>
  <c r="AS50" i="4"/>
  <c r="AS62" i="4"/>
  <c r="AS70" i="4"/>
  <c r="AS78" i="4"/>
  <c r="AS86" i="4"/>
  <c r="AS94" i="4"/>
  <c r="AS106" i="4"/>
  <c r="AS114" i="4"/>
  <c r="AS122" i="4"/>
  <c r="AS130" i="4"/>
  <c r="AS138" i="4"/>
  <c r="AS146" i="4"/>
  <c r="AS154" i="4"/>
  <c r="AS140" i="4"/>
  <c r="AS156" i="4"/>
  <c r="T495" i="5" l="1"/>
  <c r="U495" i="5" s="1"/>
  <c r="T533" i="5"/>
  <c r="T507" i="5"/>
  <c r="T198" i="5"/>
  <c r="T71" i="5"/>
  <c r="T388" i="5"/>
  <c r="T65" i="5"/>
  <c r="T357" i="5"/>
  <c r="U357" i="5" s="1"/>
  <c r="T23" i="5"/>
  <c r="U23" i="5" s="1"/>
  <c r="T503" i="5"/>
  <c r="T336" i="5"/>
  <c r="U336" i="5" s="1"/>
  <c r="T338" i="5"/>
  <c r="T188" i="5"/>
  <c r="V188" i="5" s="1"/>
  <c r="T538" i="5"/>
  <c r="T161" i="5"/>
  <c r="V161" i="5" s="1"/>
  <c r="T369" i="5"/>
  <c r="U369" i="5" s="1"/>
  <c r="T376" i="5"/>
  <c r="U376" i="5" s="1"/>
  <c r="T280" i="5"/>
  <c r="U280" i="5" s="1"/>
  <c r="T521" i="5"/>
  <c r="U521" i="5" s="1"/>
  <c r="T403" i="5"/>
  <c r="V403" i="5" s="1"/>
  <c r="T281" i="5"/>
  <c r="U281" i="5" s="1"/>
  <c r="T231" i="5"/>
  <c r="U231" i="5" s="1"/>
  <c r="T361" i="5"/>
  <c r="U361" i="5" s="1"/>
  <c r="T427" i="5"/>
  <c r="T530" i="5"/>
  <c r="U530" i="5" s="1"/>
  <c r="T206" i="5"/>
  <c r="V206" i="5" s="1"/>
  <c r="T316" i="5"/>
  <c r="V316" i="5" s="1"/>
  <c r="T164" i="5"/>
  <c r="V164" i="5" s="1"/>
  <c r="T158" i="5"/>
  <c r="V158" i="5" s="1"/>
  <c r="T293" i="5"/>
  <c r="U293" i="5" s="1"/>
  <c r="T261" i="5"/>
  <c r="V261" i="5" s="1"/>
  <c r="T241" i="5"/>
  <c r="V241" i="5" s="1"/>
  <c r="T284" i="5"/>
  <c r="V284" i="5" s="1"/>
  <c r="T194" i="5"/>
  <c r="T351" i="5"/>
  <c r="U351" i="5" s="1"/>
  <c r="T326" i="5"/>
  <c r="V326" i="5" s="1"/>
  <c r="T185" i="5"/>
  <c r="V185" i="5" s="1"/>
  <c r="T299" i="5"/>
  <c r="U299" i="5" s="1"/>
  <c r="T337" i="5"/>
  <c r="V337" i="5" s="1"/>
  <c r="T286" i="5"/>
  <c r="U286" i="5" s="1"/>
  <c r="T354" i="5"/>
  <c r="V354" i="5" s="1"/>
  <c r="T384" i="5"/>
  <c r="U384" i="5" s="1"/>
  <c r="T268" i="5"/>
  <c r="V268" i="5" s="1"/>
  <c r="T172" i="5"/>
  <c r="U172" i="5" s="1"/>
  <c r="T544" i="5"/>
  <c r="U544" i="5" s="1"/>
  <c r="T401" i="5"/>
  <c r="U401" i="5" s="1"/>
  <c r="T360" i="5"/>
  <c r="U360" i="5" s="1"/>
  <c r="T519" i="5"/>
  <c r="V519" i="5" s="1"/>
  <c r="T323" i="5"/>
  <c r="V323" i="5" s="1"/>
  <c r="T255" i="5"/>
  <c r="U255" i="5" s="1"/>
  <c r="T115" i="5"/>
  <c r="V115" i="5" s="1"/>
  <c r="T289" i="5"/>
  <c r="V289" i="5" s="1"/>
  <c r="T319" i="5"/>
  <c r="V319" i="5" s="1"/>
  <c r="T143" i="5"/>
  <c r="V143" i="5" s="1"/>
  <c r="T156" i="5"/>
  <c r="V156" i="5" s="1"/>
  <c r="T191" i="5"/>
  <c r="U191" i="5" s="1"/>
  <c r="T186" i="5"/>
  <c r="V186" i="5" s="1"/>
  <c r="T75" i="5"/>
  <c r="U75" i="5" s="1"/>
  <c r="T102" i="5"/>
  <c r="V102" i="5" s="1"/>
  <c r="T87" i="5"/>
  <c r="V87" i="5" s="1"/>
  <c r="T163" i="5"/>
  <c r="V163" i="5" s="1"/>
  <c r="T419" i="5"/>
  <c r="V419" i="5" s="1"/>
  <c r="T55" i="5"/>
  <c r="V55" i="5" s="1"/>
  <c r="T410" i="5"/>
  <c r="V410" i="5" s="1"/>
  <c r="T124" i="5"/>
  <c r="V124" i="5" s="1"/>
  <c r="T81" i="5"/>
  <c r="U81" i="5" s="1"/>
  <c r="T101" i="5"/>
  <c r="V101" i="5" s="1"/>
  <c r="T58" i="5"/>
  <c r="U58" i="5" s="1"/>
  <c r="T310" i="5"/>
  <c r="V310" i="5" s="1"/>
  <c r="T556" i="5"/>
  <c r="U556" i="5" s="1"/>
  <c r="T366" i="5"/>
  <c r="U366" i="5" s="1"/>
  <c r="T19" i="5"/>
  <c r="T29" i="5"/>
  <c r="V29" i="5" s="1"/>
  <c r="T33" i="5"/>
  <c r="V33" i="5" s="1"/>
  <c r="T74" i="5"/>
  <c r="U74" i="5" s="1"/>
  <c r="T506" i="5"/>
  <c r="V506" i="5" s="1"/>
  <c r="T269" i="5"/>
  <c r="V269" i="5" s="1"/>
  <c r="T502" i="5"/>
  <c r="U502" i="5" s="1"/>
  <c r="T438" i="5"/>
  <c r="U438" i="5" s="1"/>
  <c r="T334" i="5"/>
  <c r="V334" i="5" s="1"/>
  <c r="T553" i="5"/>
  <c r="V553" i="5" s="1"/>
  <c r="T390" i="5"/>
  <c r="V390" i="5" s="1"/>
  <c r="T46" i="5"/>
  <c r="U46" i="5" s="1"/>
  <c r="T85" i="5"/>
  <c r="V85" i="5" s="1"/>
  <c r="T423" i="5"/>
  <c r="U423" i="5" s="1"/>
  <c r="T487" i="5"/>
  <c r="V487" i="5" s="1"/>
  <c r="T313" i="5"/>
  <c r="V313" i="5" s="1"/>
  <c r="T469" i="5"/>
  <c r="V469" i="5" s="1"/>
  <c r="T499" i="5"/>
  <c r="V499" i="5" s="1"/>
  <c r="T318" i="5"/>
  <c r="V318" i="5" s="1"/>
  <c r="T508" i="5"/>
  <c r="U508" i="5" s="1"/>
  <c r="T257" i="5"/>
  <c r="V257" i="5" s="1"/>
  <c r="T341" i="5"/>
  <c r="V341" i="5" s="1"/>
  <c r="T304" i="5"/>
  <c r="V304" i="5" s="1"/>
  <c r="T370" i="5"/>
  <c r="V370" i="5" s="1"/>
  <c r="T153" i="5"/>
  <c r="V153" i="5" s="1"/>
  <c r="T493" i="5"/>
  <c r="U493" i="5" s="1"/>
  <c r="T429" i="5"/>
  <c r="U429" i="5" s="1"/>
  <c r="T211" i="5"/>
  <c r="U211" i="5" s="1"/>
  <c r="T547" i="5"/>
  <c r="V547" i="5" s="1"/>
  <c r="T559" i="5"/>
  <c r="U559" i="5" s="1"/>
  <c r="T222" i="5"/>
  <c r="U222" i="5" s="1"/>
  <c r="T461" i="5"/>
  <c r="U461" i="5" s="1"/>
  <c r="T355" i="5"/>
  <c r="V355" i="5" s="1"/>
  <c r="T219" i="5"/>
  <c r="V219" i="5" s="1"/>
  <c r="T500" i="5"/>
  <c r="V500" i="5" s="1"/>
  <c r="T415" i="5"/>
  <c r="V415" i="5" s="1"/>
  <c r="T203" i="5"/>
  <c r="U203" i="5" s="1"/>
  <c r="AW7" i="5"/>
  <c r="AX7" i="5" s="1"/>
  <c r="T53" i="5"/>
  <c r="V53" i="5" s="1"/>
  <c r="T486" i="5"/>
  <c r="V486" i="5" s="1"/>
  <c r="T34" i="5"/>
  <c r="V34" i="5" s="1"/>
  <c r="T534" i="5"/>
  <c r="V534" i="5" s="1"/>
  <c r="T392" i="5"/>
  <c r="U392" i="5" s="1"/>
  <c r="T470" i="5"/>
  <c r="U470" i="5" s="1"/>
  <c r="T39" i="5"/>
  <c r="U39" i="5" s="1"/>
  <c r="T543" i="5"/>
  <c r="U543" i="5" s="1"/>
  <c r="T352" i="5"/>
  <c r="V352" i="5" s="1"/>
  <c r="T541" i="5"/>
  <c r="U541" i="5" s="1"/>
  <c r="T445" i="5"/>
  <c r="V445" i="5" s="1"/>
  <c r="T373" i="5"/>
  <c r="V373" i="5" s="1"/>
  <c r="T110" i="5"/>
  <c r="U110" i="5" s="1"/>
  <c r="T120" i="5"/>
  <c r="V120" i="5" s="1"/>
  <c r="T439" i="5"/>
  <c r="U439" i="5" s="1"/>
  <c r="T249" i="5"/>
  <c r="U249" i="5" s="1"/>
  <c r="T324" i="5"/>
  <c r="U324" i="5" s="1"/>
  <c r="T245" i="5"/>
  <c r="U245" i="5" s="1"/>
  <c r="T26" i="5"/>
  <c r="U26" i="5" s="1"/>
  <c r="T57" i="5"/>
  <c r="U57" i="5" s="1"/>
  <c r="T129" i="5"/>
  <c r="V129" i="5" s="1"/>
  <c r="T478" i="5"/>
  <c r="U478" i="5" s="1"/>
  <c r="T106" i="5"/>
  <c r="V106" i="5" s="1"/>
  <c r="T93" i="5"/>
  <c r="V93" i="5" s="1"/>
  <c r="T95" i="5"/>
  <c r="V95" i="5" s="1"/>
  <c r="T157" i="5"/>
  <c r="V157" i="5" s="1"/>
  <c r="T212" i="5"/>
  <c r="V212" i="5" s="1"/>
  <c r="T494" i="5"/>
  <c r="V494" i="5" s="1"/>
  <c r="T510" i="5"/>
  <c r="U510" i="5" s="1"/>
  <c r="T529" i="5"/>
  <c r="U529" i="5" s="1"/>
  <c r="T550" i="5"/>
  <c r="V550" i="5" s="1"/>
  <c r="T275" i="5"/>
  <c r="U275" i="5" s="1"/>
  <c r="T72" i="5"/>
  <c r="U72" i="5" s="1"/>
  <c r="T86" i="5"/>
  <c r="V86" i="5" s="1"/>
  <c r="T422" i="5"/>
  <c r="V422" i="5" s="1"/>
  <c r="T192" i="5"/>
  <c r="U192" i="5" s="1"/>
  <c r="T407" i="5"/>
  <c r="V407" i="5" s="1"/>
  <c r="T224" i="5"/>
  <c r="U224" i="5" s="1"/>
  <c r="T44" i="5"/>
  <c r="U44" i="5" s="1"/>
  <c r="T63" i="5"/>
  <c r="V63" i="5" s="1"/>
  <c r="T177" i="5"/>
  <c r="U177" i="5" s="1"/>
  <c r="T213" i="5"/>
  <c r="U213" i="5" s="1"/>
  <c r="T332" i="5"/>
  <c r="V332" i="5" s="1"/>
  <c r="T229" i="5"/>
  <c r="U229" i="5" s="1"/>
  <c r="T426" i="5"/>
  <c r="U426" i="5" s="1"/>
  <c r="T132" i="5"/>
  <c r="U132" i="5" s="1"/>
  <c r="T295" i="5"/>
  <c r="V295" i="5" s="1"/>
  <c r="T443" i="5"/>
  <c r="V443" i="5" s="1"/>
  <c r="T379" i="5"/>
  <c r="V379" i="5" s="1"/>
  <c r="T489" i="5"/>
  <c r="V489" i="5" s="1"/>
  <c r="T346" i="5"/>
  <c r="U346" i="5" s="1"/>
  <c r="T540" i="5"/>
  <c r="U540" i="5" s="1"/>
  <c r="T418" i="5"/>
  <c r="V418" i="5" s="1"/>
  <c r="T78" i="5"/>
  <c r="U78" i="5" s="1"/>
  <c r="T165" i="5"/>
  <c r="U165" i="5" s="1"/>
  <c r="T398" i="5"/>
  <c r="V398" i="5" s="1"/>
  <c r="T238" i="5"/>
  <c r="V238" i="5" s="1"/>
  <c r="T375" i="5"/>
  <c r="U375" i="5" s="1"/>
  <c r="T215" i="5"/>
  <c r="V215" i="5" s="1"/>
  <c r="T276" i="5"/>
  <c r="U276" i="5" s="1"/>
  <c r="T67" i="5"/>
  <c r="U67" i="5" s="1"/>
  <c r="T41" i="5"/>
  <c r="U41" i="5" s="1"/>
  <c r="T497" i="5"/>
  <c r="U497" i="5" s="1"/>
  <c r="T501" i="5"/>
  <c r="V501" i="5" s="1"/>
  <c r="T358" i="5"/>
  <c r="U358" i="5" s="1"/>
  <c r="T482" i="5"/>
  <c r="V482" i="5" s="1"/>
  <c r="T342" i="5"/>
  <c r="U342" i="5" s="1"/>
  <c r="T340" i="5"/>
  <c r="V340" i="5" s="1"/>
  <c r="T99" i="5"/>
  <c r="U99" i="5" s="1"/>
  <c r="T448" i="5"/>
  <c r="V448" i="5" s="1"/>
  <c r="T147" i="5"/>
  <c r="V147" i="5" s="1"/>
  <c r="T381" i="5"/>
  <c r="V381" i="5" s="1"/>
  <c r="T170" i="5"/>
  <c r="U170" i="5" s="1"/>
  <c r="T199" i="5"/>
  <c r="V199" i="5" s="1"/>
  <c r="T444" i="5"/>
  <c r="U444" i="5" s="1"/>
  <c r="T474" i="5"/>
  <c r="U474" i="5" s="1"/>
  <c r="T517" i="5"/>
  <c r="V517" i="5" s="1"/>
  <c r="T463" i="5"/>
  <c r="V463" i="5" s="1"/>
  <c r="T309" i="5"/>
  <c r="V309" i="5" s="1"/>
  <c r="T424" i="5"/>
  <c r="U424" i="5" s="1"/>
  <c r="T96" i="5"/>
  <c r="V96" i="5" s="1"/>
  <c r="T287" i="5"/>
  <c r="V287" i="5" s="1"/>
  <c r="T113" i="5"/>
  <c r="V113" i="5" s="1"/>
  <c r="T364" i="5"/>
  <c r="V364" i="5" s="1"/>
  <c r="T133" i="5"/>
  <c r="V133" i="5" s="1"/>
  <c r="T150" i="5"/>
  <c r="U150" i="5" s="1"/>
  <c r="T226" i="5"/>
  <c r="U226" i="5" s="1"/>
  <c r="T454" i="5"/>
  <c r="U454" i="5" s="1"/>
  <c r="T496" i="5"/>
  <c r="V496" i="5" s="1"/>
  <c r="T377" i="5"/>
  <c r="V377" i="5" s="1"/>
  <c r="T262" i="5"/>
  <c r="U262" i="5" s="1"/>
  <c r="T405" i="5"/>
  <c r="V405" i="5" s="1"/>
  <c r="T42" i="5"/>
  <c r="U42" i="5" s="1"/>
  <c r="T383" i="5"/>
  <c r="U383" i="5" s="1"/>
  <c r="T90" i="5"/>
  <c r="V90" i="5" s="1"/>
  <c r="T356" i="5"/>
  <c r="V356" i="5" s="1"/>
  <c r="T152" i="5"/>
  <c r="V152" i="5" s="1"/>
  <c r="T223" i="5"/>
  <c r="U223" i="5" s="1"/>
  <c r="T208" i="5"/>
  <c r="U208" i="5" s="1"/>
  <c r="T317" i="5"/>
  <c r="V317" i="5" s="1"/>
  <c r="T440" i="5"/>
  <c r="V440" i="5" s="1"/>
  <c r="T347" i="5"/>
  <c r="V347" i="5" s="1"/>
  <c r="T146" i="5"/>
  <c r="T531" i="5"/>
  <c r="U531" i="5" s="1"/>
  <c r="T436" i="5"/>
  <c r="U436" i="5" s="1"/>
  <c r="T140" i="5"/>
  <c r="U140" i="5" s="1"/>
  <c r="T265" i="5"/>
  <c r="V265" i="5" s="1"/>
  <c r="T367" i="5"/>
  <c r="V367" i="5" s="1"/>
  <c r="T144" i="5"/>
  <c r="V144" i="5" s="1"/>
  <c r="T311" i="5"/>
  <c r="U311" i="5" s="1"/>
  <c r="T552" i="5"/>
  <c r="V552" i="5" s="1"/>
  <c r="T300" i="5"/>
  <c r="V300" i="5" s="1"/>
  <c r="T532" i="5"/>
  <c r="V532" i="5" s="1"/>
  <c r="T135" i="5"/>
  <c r="V135" i="5" s="1"/>
  <c r="T94" i="5"/>
  <c r="V94" i="5" s="1"/>
  <c r="T114" i="5"/>
  <c r="U114" i="5" s="1"/>
  <c r="T432" i="5"/>
  <c r="V432" i="5" s="1"/>
  <c r="T292" i="5"/>
  <c r="V292" i="5" s="1"/>
  <c r="T168" i="5"/>
  <c r="U168" i="5" s="1"/>
  <c r="T328" i="5"/>
  <c r="U328" i="5" s="1"/>
  <c r="T321" i="5"/>
  <c r="V321" i="5" s="1"/>
  <c r="T251" i="5"/>
  <c r="V251" i="5" s="1"/>
  <c r="T107" i="5"/>
  <c r="U107" i="5" s="1"/>
  <c r="T350" i="5"/>
  <c r="U350" i="5" s="1"/>
  <c r="T479" i="5"/>
  <c r="U479" i="5" s="1"/>
  <c r="T142" i="5"/>
  <c r="U142" i="5" s="1"/>
  <c r="T232" i="5"/>
  <c r="V232" i="5" s="1"/>
  <c r="T166" i="5"/>
  <c r="U166" i="5" s="1"/>
  <c r="T220" i="5"/>
  <c r="U220" i="5" s="1"/>
  <c r="T288" i="5"/>
  <c r="V288" i="5" s="1"/>
  <c r="T557" i="5"/>
  <c r="U557" i="5" s="1"/>
  <c r="T264" i="5"/>
  <c r="U264" i="5" s="1"/>
  <c r="T513" i="5"/>
  <c r="V513" i="5" s="1"/>
  <c r="T254" i="5"/>
  <c r="U254" i="5" s="1"/>
  <c r="T92" i="5"/>
  <c r="V92" i="5" s="1"/>
  <c r="T131" i="5"/>
  <c r="V131" i="5" s="1"/>
  <c r="T477" i="5"/>
  <c r="V477" i="5" s="1"/>
  <c r="T473" i="5"/>
  <c r="U473" i="5" s="1"/>
  <c r="T27" i="5"/>
  <c r="V27" i="5" s="1"/>
  <c r="T393" i="5"/>
  <c r="U393" i="5" s="1"/>
  <c r="T446" i="5"/>
  <c r="U446" i="5" s="1"/>
  <c r="T372" i="5"/>
  <c r="U372" i="5" s="1"/>
  <c r="T167" i="5"/>
  <c r="V167" i="5" s="1"/>
  <c r="T305" i="5"/>
  <c r="V305" i="5" s="1"/>
  <c r="T62" i="5"/>
  <c r="U62" i="5" s="1"/>
  <c r="T368" i="5"/>
  <c r="U368" i="5" s="1"/>
  <c r="T325" i="5"/>
  <c r="U325" i="5" s="1"/>
  <c r="T498" i="5"/>
  <c r="V498" i="5" s="1"/>
  <c r="T345" i="5"/>
  <c r="V345" i="5" s="1"/>
  <c r="T205" i="5"/>
  <c r="U205" i="5" s="1"/>
  <c r="T70" i="5"/>
  <c r="U70" i="5" s="1"/>
  <c r="T201" i="5"/>
  <c r="U201" i="5" s="1"/>
  <c r="T43" i="5"/>
  <c r="V43" i="5" s="1"/>
  <c r="T374" i="5"/>
  <c r="V374" i="5" s="1"/>
  <c r="T434" i="5"/>
  <c r="V434" i="5" s="1"/>
  <c r="T520" i="5"/>
  <c r="U520" i="5" s="1"/>
  <c r="T267" i="5"/>
  <c r="U267" i="5" s="1"/>
  <c r="T416" i="5"/>
  <c r="V416" i="5" s="1"/>
  <c r="T297" i="5"/>
  <c r="V297" i="5" s="1"/>
  <c r="T104" i="5"/>
  <c r="U104" i="5" s="1"/>
  <c r="T290" i="5"/>
  <c r="U290" i="5" s="1"/>
  <c r="T48" i="5"/>
  <c r="U48" i="5" s="1"/>
  <c r="T522" i="5"/>
  <c r="V522" i="5" s="1"/>
  <c r="T302" i="5"/>
  <c r="V302" i="5" s="1"/>
  <c r="T456" i="5"/>
  <c r="V456" i="5" s="1"/>
  <c r="T283" i="5"/>
  <c r="V283" i="5" s="1"/>
  <c r="T196" i="5"/>
  <c r="V196" i="5" s="1"/>
  <c r="T47" i="5"/>
  <c r="U47" i="5" s="1"/>
  <c r="T183" i="5"/>
  <c r="V183" i="5" s="1"/>
  <c r="T32" i="5"/>
  <c r="V32" i="5" s="1"/>
  <c r="T8" i="5"/>
  <c r="V8" i="5" s="1"/>
  <c r="T327" i="5"/>
  <c r="U327" i="5" s="1"/>
  <c r="T452" i="5"/>
  <c r="U452" i="5" s="1"/>
  <c r="T343" i="5"/>
  <c r="V343" i="5" s="1"/>
  <c r="T49" i="5"/>
  <c r="U49" i="5" s="1"/>
  <c r="T490" i="5"/>
  <c r="U490" i="5" s="1"/>
  <c r="T128" i="5"/>
  <c r="U128" i="5" s="1"/>
  <c r="T322" i="5"/>
  <c r="U322" i="5" s="1"/>
  <c r="T235" i="5"/>
  <c r="U235" i="5" s="1"/>
  <c r="T413" i="5"/>
  <c r="V413" i="5" s="1"/>
  <c r="T119" i="5"/>
  <c r="U119" i="5" s="1"/>
  <c r="T391" i="5"/>
  <c r="V391" i="5" s="1"/>
  <c r="T425" i="5"/>
  <c r="U425" i="5" s="1"/>
  <c r="T551" i="5"/>
  <c r="V551" i="5" s="1"/>
  <c r="T259" i="5"/>
  <c r="V259" i="5" s="1"/>
  <c r="T314" i="5"/>
  <c r="V314" i="5" s="1"/>
  <c r="T45" i="5"/>
  <c r="U45" i="5" s="1"/>
  <c r="T197" i="5"/>
  <c r="U197" i="5" s="1"/>
  <c r="T536" i="5"/>
  <c r="U536" i="5" s="1"/>
  <c r="T396" i="5"/>
  <c r="V396" i="5" s="1"/>
  <c r="T148" i="5"/>
  <c r="V148" i="5" s="1"/>
  <c r="T348" i="5"/>
  <c r="U348" i="5" s="1"/>
  <c r="T306" i="5"/>
  <c r="V306" i="5" s="1"/>
  <c r="T84" i="5"/>
  <c r="U84" i="5" s="1"/>
  <c r="T207" i="5"/>
  <c r="U207" i="5" s="1"/>
  <c r="T121" i="5"/>
  <c r="U121" i="5" s="1"/>
  <c r="T273" i="5"/>
  <c r="V273" i="5" s="1"/>
  <c r="T155" i="5"/>
  <c r="U155" i="5" s="1"/>
  <c r="T539" i="5"/>
  <c r="V539" i="5" s="1"/>
  <c r="T365" i="5"/>
  <c r="V365" i="5" s="1"/>
  <c r="T449" i="5"/>
  <c r="U449" i="5" s="1"/>
  <c r="T244" i="5"/>
  <c r="U244" i="5" s="1"/>
  <c r="T218" i="5"/>
  <c r="U218" i="5" s="1"/>
  <c r="T228" i="5"/>
  <c r="V228" i="5" s="1"/>
  <c r="T411" i="5"/>
  <c r="U411" i="5" s="1"/>
  <c r="T109" i="5"/>
  <c r="V109" i="5" s="1"/>
  <c r="T136" i="5"/>
  <c r="U136" i="5" s="1"/>
  <c r="T483" i="5"/>
  <c r="V483" i="5" s="1"/>
  <c r="T523" i="5"/>
  <c r="V523" i="5" s="1"/>
  <c r="T298" i="5"/>
  <c r="U298" i="5" s="1"/>
  <c r="T395" i="5"/>
  <c r="U395" i="5" s="1"/>
  <c r="T412" i="5"/>
  <c r="U412" i="5" s="1"/>
  <c r="T248" i="5"/>
  <c r="U248" i="5" s="1"/>
  <c r="T278" i="5"/>
  <c r="U278" i="5" s="1"/>
  <c r="T21" i="5"/>
  <c r="V21" i="5" s="1"/>
  <c r="T175" i="5"/>
  <c r="V175" i="5" s="1"/>
  <c r="T344" i="5"/>
  <c r="V344" i="5" s="1"/>
  <c r="T380" i="5"/>
  <c r="U380" i="5" s="1"/>
  <c r="T116" i="5"/>
  <c r="V116" i="5" s="1"/>
  <c r="T195" i="5"/>
  <c r="V195" i="5" s="1"/>
  <c r="T282" i="5"/>
  <c r="U282" i="5" s="1"/>
  <c r="T126" i="5"/>
  <c r="U126" i="5" s="1"/>
  <c r="T174" i="5"/>
  <c r="V174" i="5" s="1"/>
  <c r="T37" i="5"/>
  <c r="V37" i="5" s="1"/>
  <c r="T464" i="5"/>
  <c r="U464" i="5" s="1"/>
  <c r="T389" i="5"/>
  <c r="V389" i="5" s="1"/>
  <c r="T217" i="5"/>
  <c r="U217" i="5" s="1"/>
  <c r="T371" i="5"/>
  <c r="U371" i="5" s="1"/>
  <c r="T200" i="5"/>
  <c r="U200" i="5" s="1"/>
  <c r="T535" i="5"/>
  <c r="V535" i="5" s="1"/>
  <c r="T472" i="5"/>
  <c r="U472" i="5" s="1"/>
  <c r="T266" i="5"/>
  <c r="V266" i="5" s="1"/>
  <c r="T51" i="5"/>
  <c r="V51" i="5" s="1"/>
  <c r="T214" i="5"/>
  <c r="U214" i="5" s="1"/>
  <c r="T274" i="5"/>
  <c r="V274" i="5" s="1"/>
  <c r="T123" i="5"/>
  <c r="U123" i="5" s="1"/>
  <c r="T250" i="5"/>
  <c r="V250" i="5" s="1"/>
  <c r="T134" i="5"/>
  <c r="T22" i="5"/>
  <c r="U22" i="5" s="1"/>
  <c r="T227" i="5"/>
  <c r="V227" i="5" s="1"/>
  <c r="T397" i="5"/>
  <c r="U397" i="5" s="1"/>
  <c r="T312" i="5"/>
  <c r="U312" i="5" s="1"/>
  <c r="T467" i="5"/>
  <c r="V467" i="5" s="1"/>
  <c r="T112" i="5"/>
  <c r="V112" i="5" s="1"/>
  <c r="T441" i="5"/>
  <c r="V441" i="5" s="1"/>
  <c r="T433" i="5"/>
  <c r="U433" i="5" s="1"/>
  <c r="T202" i="5"/>
  <c r="U202" i="5" s="1"/>
  <c r="T362" i="5"/>
  <c r="V362" i="5" s="1"/>
  <c r="T182" i="5"/>
  <c r="V182" i="5" s="1"/>
  <c r="T524" i="5"/>
  <c r="U524" i="5" s="1"/>
  <c r="T404" i="5"/>
  <c r="U404" i="5" s="1"/>
  <c r="T270" i="5"/>
  <c r="V270" i="5" s="1"/>
  <c r="T480" i="5"/>
  <c r="U480" i="5" s="1"/>
  <c r="T400" i="5"/>
  <c r="V400" i="5" s="1"/>
  <c r="T180" i="5"/>
  <c r="V180" i="5" s="1"/>
  <c r="T139" i="5"/>
  <c r="V139" i="5" s="1"/>
  <c r="T279" i="5"/>
  <c r="U279" i="5" s="1"/>
  <c r="T151" i="5"/>
  <c r="V151" i="5" s="1"/>
  <c r="T38" i="5"/>
  <c r="V38" i="5" s="1"/>
  <c r="T435" i="5"/>
  <c r="V435" i="5" s="1"/>
  <c r="T36" i="5"/>
  <c r="U36" i="5" s="1"/>
  <c r="T455" i="5"/>
  <c r="U455" i="5" s="1"/>
  <c r="T88" i="5"/>
  <c r="U88" i="5" s="1"/>
  <c r="T447" i="5"/>
  <c r="V447" i="5" s="1"/>
  <c r="T484" i="5"/>
  <c r="U484" i="5" s="1"/>
  <c r="T258" i="5"/>
  <c r="U258" i="5" s="1"/>
  <c r="T160" i="5"/>
  <c r="V160" i="5" s="1"/>
  <c r="T97" i="5"/>
  <c r="U97" i="5" s="1"/>
  <c r="T253" i="5"/>
  <c r="V253" i="5" s="1"/>
  <c r="T68" i="5"/>
  <c r="U68" i="5" s="1"/>
  <c r="T457" i="5"/>
  <c r="V457" i="5" s="1"/>
  <c r="T421" i="5"/>
  <c r="U421" i="5" s="1"/>
  <c r="T122" i="5"/>
  <c r="V122" i="5" s="1"/>
  <c r="T458" i="5"/>
  <c r="V458" i="5" s="1"/>
  <c r="T246" i="5"/>
  <c r="U246" i="5" s="1"/>
  <c r="T204" i="5"/>
  <c r="V204" i="5" s="1"/>
  <c r="T35" i="5"/>
  <c r="U35" i="5" s="1"/>
  <c r="T239" i="5"/>
  <c r="V239" i="5" s="1"/>
  <c r="T83" i="5"/>
  <c r="U83" i="5" s="1"/>
  <c r="AT66" i="5"/>
  <c r="AV66" i="5" s="1"/>
  <c r="AT43" i="5"/>
  <c r="AV43" i="5" s="1"/>
  <c r="T7" i="5"/>
  <c r="V7" i="5" s="1"/>
  <c r="T512" i="5"/>
  <c r="V512" i="5" s="1"/>
  <c r="T437" i="5"/>
  <c r="V437" i="5" s="1"/>
  <c r="T233" i="5"/>
  <c r="V233" i="5" s="1"/>
  <c r="T77" i="5"/>
  <c r="V77" i="5" s="1"/>
  <c r="T428" i="5"/>
  <c r="V428" i="5" s="1"/>
  <c r="T315" i="5"/>
  <c r="U315" i="5" s="1"/>
  <c r="T263" i="5"/>
  <c r="U263" i="5" s="1"/>
  <c r="T100" i="5"/>
  <c r="U100" i="5" s="1"/>
  <c r="T69" i="5"/>
  <c r="V69" i="5" s="1"/>
  <c r="T301" i="5"/>
  <c r="V301" i="5" s="1"/>
  <c r="T190" i="5"/>
  <c r="U190" i="5" s="1"/>
  <c r="T91" i="5"/>
  <c r="B46" i="5"/>
  <c r="T515" i="5"/>
  <c r="V515" i="5" s="1"/>
  <c r="T50" i="5"/>
  <c r="V50" i="5" s="1"/>
  <c r="T125" i="5"/>
  <c r="V125" i="5" s="1"/>
  <c r="T330" i="5"/>
  <c r="U330" i="5" s="1"/>
  <c r="T179" i="5"/>
  <c r="V179" i="5" s="1"/>
  <c r="T272" i="5"/>
  <c r="V272" i="5" s="1"/>
  <c r="T237" i="5"/>
  <c r="V237" i="5" s="1"/>
  <c r="T127" i="5"/>
  <c r="V127" i="5" s="1"/>
  <c r="T406" i="5"/>
  <c r="U406" i="5" s="1"/>
  <c r="T462" i="5"/>
  <c r="U462" i="5" s="1"/>
  <c r="T378" i="5"/>
  <c r="V378" i="5" s="1"/>
  <c r="T193" i="5"/>
  <c r="U193" i="5" s="1"/>
  <c r="T54" i="5"/>
  <c r="V54" i="5" s="1"/>
  <c r="T399" i="5"/>
  <c r="U399" i="5" s="1"/>
  <c r="T335" i="5"/>
  <c r="V335" i="5" s="1"/>
  <c r="T236" i="5"/>
  <c r="U236" i="5" s="1"/>
  <c r="T187" i="5"/>
  <c r="V187" i="5" s="1"/>
  <c r="T61" i="5"/>
  <c r="U61" i="5" s="1"/>
  <c r="T260" i="5"/>
  <c r="U260" i="5" s="1"/>
  <c r="T79" i="5"/>
  <c r="V79" i="5" s="1"/>
  <c r="T98" i="5"/>
  <c r="V98" i="5" s="1"/>
  <c r="T459" i="5"/>
  <c r="U459" i="5" s="1"/>
  <c r="T548" i="5"/>
  <c r="V548" i="5" s="1"/>
  <c r="T460" i="5"/>
  <c r="U460" i="5" s="1"/>
  <c r="T527" i="5"/>
  <c r="U527" i="5" s="1"/>
  <c r="T491" i="5"/>
  <c r="V491" i="5" s="1"/>
  <c r="T558" i="5"/>
  <c r="V558" i="5" s="1"/>
  <c r="T453" i="5"/>
  <c r="V453" i="5" s="1"/>
  <c r="T28" i="5"/>
  <c r="U28" i="5" s="1"/>
  <c r="T511" i="5"/>
  <c r="U511" i="5" s="1"/>
  <c r="T141" i="5"/>
  <c r="V141" i="5" s="1"/>
  <c r="T307" i="5"/>
  <c r="U307" i="5" s="1"/>
  <c r="T184" i="5"/>
  <c r="U184" i="5" s="1"/>
  <c r="T409" i="5"/>
  <c r="U409" i="5" s="1"/>
  <c r="T308" i="5"/>
  <c r="V308" i="5" s="1"/>
  <c r="T108" i="5"/>
  <c r="U108" i="5" s="1"/>
  <c r="T554" i="5"/>
  <c r="U554" i="5" s="1"/>
  <c r="T442" i="5"/>
  <c r="V442" i="5" s="1"/>
  <c r="T359" i="5"/>
  <c r="U359" i="5" s="1"/>
  <c r="T234" i="5"/>
  <c r="V234" i="5" s="1"/>
  <c r="T40" i="5"/>
  <c r="V40" i="5" s="1"/>
  <c r="T382" i="5"/>
  <c r="U382" i="5" s="1"/>
  <c r="T320" i="5"/>
  <c r="U320" i="5" s="1"/>
  <c r="T225" i="5"/>
  <c r="V225" i="5" s="1"/>
  <c r="T173" i="5"/>
  <c r="U173" i="5" s="1"/>
  <c r="T80" i="5"/>
  <c r="U80" i="5" s="1"/>
  <c r="T252" i="5"/>
  <c r="U252" i="5" s="1"/>
  <c r="T169" i="5"/>
  <c r="V169" i="5" s="1"/>
  <c r="T82" i="5"/>
  <c r="U82" i="5" s="1"/>
  <c r="T417" i="5"/>
  <c r="T230" i="5"/>
  <c r="V230" i="5" s="1"/>
  <c r="T555" i="5"/>
  <c r="U555" i="5" s="1"/>
  <c r="T476" i="5"/>
  <c r="V476" i="5" s="1"/>
  <c r="T471" i="5"/>
  <c r="U471" i="5" s="1"/>
  <c r="T333" i="5"/>
  <c r="U333" i="5" s="1"/>
  <c r="T525" i="5"/>
  <c r="U525" i="5" s="1"/>
  <c r="T162" i="5"/>
  <c r="U162" i="5" s="1"/>
  <c r="T450" i="5"/>
  <c r="V450" i="5" s="1"/>
  <c r="T451" i="5"/>
  <c r="T528" i="5"/>
  <c r="U528" i="5" s="1"/>
  <c r="T537" i="5"/>
  <c r="U537" i="5" s="1"/>
  <c r="T509" i="5"/>
  <c r="T485" i="5"/>
  <c r="U485" i="5" s="1"/>
  <c r="T25" i="5"/>
  <c r="U25" i="5" s="1"/>
  <c r="T296" i="5"/>
  <c r="V296" i="5" s="1"/>
  <c r="T111" i="5"/>
  <c r="V111" i="5" s="1"/>
  <c r="T385" i="5"/>
  <c r="U385" i="5" s="1"/>
  <c r="T277" i="5"/>
  <c r="U277" i="5" s="1"/>
  <c r="T60" i="5"/>
  <c r="U60" i="5" s="1"/>
  <c r="T545" i="5"/>
  <c r="U545" i="5" s="1"/>
  <c r="T339" i="5"/>
  <c r="U339" i="5" s="1"/>
  <c r="T329" i="5"/>
  <c r="U329" i="5" s="1"/>
  <c r="T209" i="5"/>
  <c r="U209" i="5" s="1"/>
  <c r="T31" i="5"/>
  <c r="V31" i="5" s="1"/>
  <c r="T363" i="5"/>
  <c r="U363" i="5" s="1"/>
  <c r="T303" i="5"/>
  <c r="V303" i="5" s="1"/>
  <c r="T210" i="5"/>
  <c r="U210" i="5" s="1"/>
  <c r="T149" i="5"/>
  <c r="V149" i="5" s="1"/>
  <c r="T66" i="5"/>
  <c r="V66" i="5" s="1"/>
  <c r="T176" i="5"/>
  <c r="V176" i="5" s="1"/>
  <c r="T118" i="5"/>
  <c r="U118" i="5" s="1"/>
  <c r="T89" i="5"/>
  <c r="T488" i="5"/>
  <c r="U488" i="5" s="1"/>
  <c r="T154" i="5"/>
  <c r="V154" i="5" s="1"/>
  <c r="T546" i="5"/>
  <c r="V546" i="5" s="1"/>
  <c r="T408" i="5"/>
  <c r="V408" i="5" s="1"/>
  <c r="T518" i="5"/>
  <c r="V518" i="5" s="1"/>
  <c r="T481" i="5"/>
  <c r="U481" i="5" s="1"/>
  <c r="T549" i="5"/>
  <c r="V549" i="5" s="1"/>
  <c r="T431" i="5"/>
  <c r="U431" i="5" s="1"/>
  <c r="T414" i="5"/>
  <c r="U414" i="5" s="1"/>
  <c r="T256" i="5"/>
  <c r="V256" i="5" s="1"/>
  <c r="T145" i="5"/>
  <c r="V145" i="5" s="1"/>
  <c r="T247" i="5"/>
  <c r="V247" i="5" s="1"/>
  <c r="T240" i="5"/>
  <c r="V240" i="5" s="1"/>
  <c r="T73" i="5"/>
  <c r="V73" i="5" s="1"/>
  <c r="T465" i="5"/>
  <c r="U465" i="5" s="1"/>
  <c r="T505" i="5"/>
  <c r="U505" i="5" s="1"/>
  <c r="T349" i="5"/>
  <c r="U349" i="5" s="1"/>
  <c r="T189" i="5"/>
  <c r="U189" i="5" s="1"/>
  <c r="T504" i="5"/>
  <c r="U504" i="5" s="1"/>
  <c r="T294" i="5"/>
  <c r="U294" i="5" s="1"/>
  <c r="T271" i="5"/>
  <c r="U271" i="5" s="1"/>
  <c r="T243" i="5"/>
  <c r="U243" i="5" s="1"/>
  <c r="T138" i="5"/>
  <c r="U138" i="5" s="1"/>
  <c r="T59" i="5"/>
  <c r="V59" i="5" s="1"/>
  <c r="T221" i="5"/>
  <c r="U221" i="5" s="1"/>
  <c r="T171" i="5"/>
  <c r="U171" i="5" s="1"/>
  <c r="T76" i="5"/>
  <c r="U76" i="5" s="1"/>
  <c r="T492" i="5"/>
  <c r="U492" i="5" s="1"/>
  <c r="T394" i="5"/>
  <c r="U394" i="5" s="1"/>
  <c r="T560" i="5"/>
  <c r="V560" i="5" s="1"/>
  <c r="T420" i="5"/>
  <c r="V420" i="5" s="1"/>
  <c r="T542" i="5"/>
  <c r="V542" i="5" s="1"/>
  <c r="T402" i="5"/>
  <c r="U402" i="5" s="1"/>
  <c r="T514" i="5"/>
  <c r="V514" i="5" s="1"/>
  <c r="T466" i="5"/>
  <c r="U466" i="5" s="1"/>
  <c r="T353" i="5"/>
  <c r="U353" i="5" s="1"/>
  <c r="T291" i="5"/>
  <c r="V291" i="5" s="1"/>
  <c r="T103" i="5"/>
  <c r="U103" i="5" s="1"/>
  <c r="T387" i="5"/>
  <c r="U387" i="5" s="1"/>
  <c r="T216" i="5"/>
  <c r="U216" i="5" s="1"/>
  <c r="T20" i="5"/>
  <c r="V20" i="5" s="1"/>
  <c r="T526" i="5"/>
  <c r="U526" i="5" s="1"/>
  <c r="T430" i="5"/>
  <c r="U430" i="5" s="1"/>
  <c r="T285" i="5"/>
  <c r="U285" i="5" s="1"/>
  <c r="T178" i="5"/>
  <c r="V178" i="5" s="1"/>
  <c r="T468" i="5"/>
  <c r="U468" i="5" s="1"/>
  <c r="T386" i="5"/>
  <c r="V386" i="5" s="1"/>
  <c r="T331" i="5"/>
  <c r="V331" i="5" s="1"/>
  <c r="T159" i="5"/>
  <c r="V159" i="5" s="1"/>
  <c r="T137" i="5"/>
  <c r="U137" i="5" s="1"/>
  <c r="T52" i="5"/>
  <c r="V52" i="5" s="1"/>
  <c r="T242" i="5"/>
  <c r="U242" i="5" s="1"/>
  <c r="T130" i="5"/>
  <c r="U130" i="5" s="1"/>
  <c r="AT93" i="5"/>
  <c r="AV93" i="5" s="1"/>
  <c r="AZ194" i="5"/>
  <c r="BB194" i="5" s="1"/>
  <c r="AT29" i="5"/>
  <c r="AV29" i="5" s="1"/>
  <c r="AT54" i="5"/>
  <c r="AV54" i="5" s="1"/>
  <c r="AT61" i="5"/>
  <c r="AZ211" i="5"/>
  <c r="BB211" i="5" s="1"/>
  <c r="AZ196" i="5"/>
  <c r="BA196" i="5" s="1"/>
  <c r="AT246" i="5"/>
  <c r="AU246" i="5" s="1"/>
  <c r="AT191" i="5"/>
  <c r="AV191" i="5" s="1"/>
  <c r="AT273" i="5"/>
  <c r="AU273" i="5" s="1"/>
  <c r="AT248" i="5"/>
  <c r="AU248" i="5" s="1"/>
  <c r="AT233" i="5"/>
  <c r="AU233" i="5" s="1"/>
  <c r="AT198" i="5"/>
  <c r="AU198" i="5" s="1"/>
  <c r="AZ173" i="5"/>
  <c r="BB173" i="5" s="1"/>
  <c r="AT7" i="5"/>
  <c r="AV7" i="5" s="1"/>
  <c r="AT218" i="5"/>
  <c r="AU218" i="5" s="1"/>
  <c r="AT183" i="5"/>
  <c r="AV183" i="5" s="1"/>
  <c r="AT175" i="5"/>
  <c r="AV175" i="5" s="1"/>
  <c r="AT84" i="5"/>
  <c r="AV84" i="5" s="1"/>
  <c r="AT165" i="5"/>
  <c r="AV165" i="5" s="1"/>
  <c r="AT156" i="5"/>
  <c r="AU156" i="5" s="1"/>
  <c r="AZ171" i="5"/>
  <c r="BB171" i="5" s="1"/>
  <c r="AT46" i="5"/>
  <c r="AV46" i="5" s="1"/>
  <c r="AZ190" i="5"/>
  <c r="BB190" i="5" s="1"/>
  <c r="AT153" i="5"/>
  <c r="AV153" i="5" s="1"/>
  <c r="AT115" i="5"/>
  <c r="AV115" i="5" s="1"/>
  <c r="AT39" i="5"/>
  <c r="AV39" i="5" s="1"/>
  <c r="AZ164" i="5"/>
  <c r="AT130" i="5"/>
  <c r="AU130" i="5" s="1"/>
  <c r="AT102" i="5"/>
  <c r="AU102" i="5" s="1"/>
  <c r="AT30" i="5"/>
  <c r="AV30" i="5" s="1"/>
  <c r="AT311" i="5"/>
  <c r="AU311" i="5" s="1"/>
  <c r="AT237" i="5"/>
  <c r="AU237" i="5" s="1"/>
  <c r="AT229" i="5"/>
  <c r="AU229" i="5" s="1"/>
  <c r="AT111" i="5"/>
  <c r="AV111" i="5" s="1"/>
  <c r="AT89" i="5"/>
  <c r="AU89" i="5" s="1"/>
  <c r="AT52" i="5"/>
  <c r="AU52" i="5" s="1"/>
  <c r="AZ152" i="5"/>
  <c r="BB152" i="5" s="1"/>
  <c r="AT271" i="5"/>
  <c r="AU271" i="5" s="1"/>
  <c r="AZ158" i="5"/>
  <c r="BA158" i="5" s="1"/>
  <c r="AT295" i="5"/>
  <c r="AV295" i="5" s="1"/>
  <c r="AT286" i="5"/>
  <c r="AU286" i="5" s="1"/>
  <c r="AT249" i="5"/>
  <c r="AV249" i="5" s="1"/>
  <c r="AT324" i="5"/>
  <c r="AV324" i="5" s="1"/>
  <c r="AT91" i="5"/>
  <c r="AV91" i="5" s="1"/>
  <c r="AT62" i="5"/>
  <c r="AU62" i="5" s="1"/>
  <c r="AZ116" i="5"/>
  <c r="BA116" i="5" s="1"/>
  <c r="AZ140" i="5"/>
  <c r="BB140" i="5" s="1"/>
  <c r="AZ59" i="5"/>
  <c r="AZ60" i="5"/>
  <c r="BB60" i="5" s="1"/>
  <c r="AZ50" i="5"/>
  <c r="BB50" i="5" s="1"/>
  <c r="AZ35" i="5"/>
  <c r="BB35" i="5" s="1"/>
  <c r="AZ27" i="5"/>
  <c r="BA27" i="5" s="1"/>
  <c r="AZ40" i="5"/>
  <c r="BB40" i="5" s="1"/>
  <c r="AZ22" i="5"/>
  <c r="BB22" i="5" s="1"/>
  <c r="AZ218" i="5"/>
  <c r="BA218" i="5" s="1"/>
  <c r="AZ324" i="5"/>
  <c r="BA324" i="5" s="1"/>
  <c r="AZ299" i="5"/>
  <c r="BA299" i="5" s="1"/>
  <c r="AZ312" i="5"/>
  <c r="BA312" i="5" s="1"/>
  <c r="AZ315" i="5"/>
  <c r="BB315" i="5" s="1"/>
  <c r="AZ265" i="5"/>
  <c r="BA265" i="5" s="1"/>
  <c r="AZ127" i="5"/>
  <c r="BA127" i="5" s="1"/>
  <c r="AZ126" i="5"/>
  <c r="BA126" i="5" s="1"/>
  <c r="AZ95" i="5"/>
  <c r="BA95" i="5" s="1"/>
  <c r="AZ24" i="5"/>
  <c r="BB24" i="5" s="1"/>
  <c r="AZ393" i="5"/>
  <c r="BA393" i="5" s="1"/>
  <c r="AZ255" i="5"/>
  <c r="BB255" i="5" s="1"/>
  <c r="AZ278" i="5"/>
  <c r="BA278" i="5" s="1"/>
  <c r="AZ290" i="5"/>
  <c r="AZ318" i="5"/>
  <c r="BA318" i="5" s="1"/>
  <c r="AZ148" i="5"/>
  <c r="BB148" i="5" s="1"/>
  <c r="AZ135" i="5"/>
  <c r="BA135" i="5" s="1"/>
  <c r="AZ110" i="5"/>
  <c r="BA110" i="5" s="1"/>
  <c r="AZ69" i="5"/>
  <c r="BA69" i="5" s="1"/>
  <c r="AZ66" i="5"/>
  <c r="BB66" i="5" s="1"/>
  <c r="AZ305" i="5"/>
  <c r="BA305" i="5" s="1"/>
  <c r="AZ296" i="5"/>
  <c r="BB296" i="5" s="1"/>
  <c r="AZ303" i="5"/>
  <c r="BA303" i="5" s="1"/>
  <c r="AZ264" i="5"/>
  <c r="BA264" i="5" s="1"/>
  <c r="AZ150" i="5"/>
  <c r="BA150" i="5" s="1"/>
  <c r="AZ123" i="5"/>
  <c r="BB123" i="5" s="1"/>
  <c r="AZ121" i="5"/>
  <c r="BB121" i="5" s="1"/>
  <c r="AZ23" i="5"/>
  <c r="BB23" i="5" s="1"/>
  <c r="AZ220" i="5"/>
  <c r="BA220" i="5" s="1"/>
  <c r="AZ246" i="5"/>
  <c r="BB246" i="5" s="1"/>
  <c r="AZ200" i="5"/>
  <c r="BA200" i="5" s="1"/>
  <c r="AZ139" i="5"/>
  <c r="BB139" i="5" s="1"/>
  <c r="AZ98" i="5"/>
  <c r="BB98" i="5" s="1"/>
  <c r="AZ91" i="5"/>
  <c r="BB91" i="5" s="1"/>
  <c r="AZ55" i="5"/>
  <c r="BA55" i="5" s="1"/>
  <c r="AZ249" i="5"/>
  <c r="BB249" i="5" s="1"/>
  <c r="AZ161" i="5"/>
  <c r="BA161" i="5" s="1"/>
  <c r="AZ184" i="5"/>
  <c r="BB184" i="5" s="1"/>
  <c r="AZ212" i="5"/>
  <c r="BB212" i="5" s="1"/>
  <c r="H50" i="1"/>
  <c r="V495" i="5"/>
  <c r="V24" i="5"/>
  <c r="B140" i="2"/>
  <c r="B141" i="2"/>
  <c r="B138" i="2"/>
  <c r="H56" i="1"/>
  <c r="AJ84" i="5"/>
  <c r="AL84" i="5" s="1"/>
  <c r="AJ147" i="5"/>
  <c r="AK147" i="5" s="1"/>
  <c r="AT38" i="5"/>
  <c r="AV38" i="5" s="1"/>
  <c r="AT44" i="5"/>
  <c r="AU44" i="5" s="1"/>
  <c r="AT32" i="5"/>
  <c r="AV32" i="5" s="1"/>
  <c r="AT328" i="5"/>
  <c r="AV328" i="5" s="1"/>
  <c r="AT276" i="5"/>
  <c r="AU276" i="5" s="1"/>
  <c r="AT314" i="5"/>
  <c r="AV314" i="5" s="1"/>
  <c r="AT257" i="5"/>
  <c r="AV257" i="5" s="1"/>
  <c r="AT221" i="5"/>
  <c r="AV221" i="5" s="1"/>
  <c r="AT211" i="5"/>
  <c r="AV211" i="5" s="1"/>
  <c r="AT176" i="5"/>
  <c r="AU176" i="5" s="1"/>
  <c r="AT160" i="5"/>
  <c r="AV160" i="5" s="1"/>
  <c r="AT131" i="5"/>
  <c r="AV131" i="5" s="1"/>
  <c r="AT135" i="5"/>
  <c r="AV135" i="5" s="1"/>
  <c r="AT118" i="5"/>
  <c r="AU118" i="5" s="1"/>
  <c r="AT141" i="5"/>
  <c r="AU141" i="5" s="1"/>
  <c r="AT79" i="5"/>
  <c r="AU79" i="5" s="1"/>
  <c r="AT78" i="5"/>
  <c r="AU78" i="5" s="1"/>
  <c r="AT23" i="5"/>
  <c r="AU23" i="5" s="1"/>
  <c r="AT25" i="5"/>
  <c r="AV25" i="5" s="1"/>
  <c r="AT335" i="5"/>
  <c r="AU335" i="5" s="1"/>
  <c r="AT259" i="5"/>
  <c r="AU259" i="5" s="1"/>
  <c r="AT297" i="5"/>
  <c r="AU297" i="5" s="1"/>
  <c r="AT205" i="5"/>
  <c r="AU205" i="5" s="1"/>
  <c r="AT280" i="5"/>
  <c r="AV280" i="5" s="1"/>
  <c r="AT238" i="5"/>
  <c r="AV238" i="5" s="1"/>
  <c r="AT243" i="5"/>
  <c r="AU243" i="5" s="1"/>
  <c r="AT234" i="5"/>
  <c r="AU234" i="5" s="1"/>
  <c r="AT189" i="5"/>
  <c r="AV189" i="5" s="1"/>
  <c r="AT181" i="5"/>
  <c r="AU181" i="5" s="1"/>
  <c r="AT173" i="5"/>
  <c r="AV173" i="5" s="1"/>
  <c r="AT138" i="5"/>
  <c r="AV138" i="5" s="1"/>
  <c r="AT126" i="5"/>
  <c r="AU126" i="5" s="1"/>
  <c r="AT83" i="5"/>
  <c r="AV83" i="5" s="1"/>
  <c r="AT87" i="5"/>
  <c r="AV87" i="5" s="1"/>
  <c r="AT22" i="5"/>
  <c r="AU22" i="5" s="1"/>
  <c r="AT64" i="5"/>
  <c r="AV64" i="5" s="1"/>
  <c r="AT31" i="5"/>
  <c r="AU31" i="5" s="1"/>
  <c r="AT36" i="5"/>
  <c r="AU36" i="5" s="1"/>
  <c r="AT24" i="5"/>
  <c r="AV24" i="5" s="1"/>
  <c r="AT28" i="5"/>
  <c r="AV28" i="5" s="1"/>
  <c r="AT316" i="5"/>
  <c r="AV316" i="5" s="1"/>
  <c r="AT250" i="5"/>
  <c r="AU250" i="5" s="1"/>
  <c r="AT301" i="5"/>
  <c r="AV301" i="5" s="1"/>
  <c r="AT251" i="5"/>
  <c r="AV251" i="5" s="1"/>
  <c r="AT195" i="5"/>
  <c r="AU195" i="5" s="1"/>
  <c r="AT164" i="5"/>
  <c r="AU164" i="5" s="1"/>
  <c r="AT199" i="5"/>
  <c r="AU199" i="5" s="1"/>
  <c r="AT133" i="5"/>
  <c r="AV133" i="5" s="1"/>
  <c r="AT187" i="5"/>
  <c r="AV187" i="5" s="1"/>
  <c r="AT110" i="5"/>
  <c r="AU110" i="5" s="1"/>
  <c r="AT92" i="5"/>
  <c r="AV92" i="5" s="1"/>
  <c r="AT121" i="5"/>
  <c r="AU121" i="5" s="1"/>
  <c r="AT103" i="5"/>
  <c r="AU103" i="5" s="1"/>
  <c r="AT55" i="5"/>
  <c r="AU55" i="5" s="1"/>
  <c r="AT65" i="5"/>
  <c r="AV65" i="5" s="1"/>
  <c r="AT47" i="5"/>
  <c r="AV47" i="5" s="1"/>
  <c r="AT307" i="5"/>
  <c r="AV307" i="5" s="1"/>
  <c r="AT200" i="5"/>
  <c r="AV200" i="5" s="1"/>
  <c r="AT282" i="5"/>
  <c r="AU282" i="5" s="1"/>
  <c r="AT322" i="5"/>
  <c r="AU322" i="5" s="1"/>
  <c r="AT265" i="5"/>
  <c r="AU265" i="5" s="1"/>
  <c r="AT230" i="5"/>
  <c r="AV230" i="5" s="1"/>
  <c r="AT224" i="5"/>
  <c r="AV224" i="5" s="1"/>
  <c r="AT215" i="5"/>
  <c r="AU215" i="5" s="1"/>
  <c r="AT172" i="5"/>
  <c r="AV172" i="5" s="1"/>
  <c r="AT163" i="5"/>
  <c r="AV163" i="5" s="1"/>
  <c r="AT150" i="5"/>
  <c r="AV150" i="5" s="1"/>
  <c r="AT122" i="5"/>
  <c r="AV122" i="5" s="1"/>
  <c r="AT71" i="5"/>
  <c r="AV71" i="5" s="1"/>
  <c r="AT88" i="5"/>
  <c r="AU88" i="5" s="1"/>
  <c r="AT90" i="5"/>
  <c r="AU90" i="5" s="1"/>
  <c r="AT63" i="5"/>
  <c r="AV63" i="5" s="1"/>
  <c r="AT53" i="5"/>
  <c r="AU53" i="5" s="1"/>
  <c r="AT21" i="5"/>
  <c r="AU21" i="5" s="1"/>
  <c r="AT37" i="5"/>
  <c r="AV37" i="5" s="1"/>
  <c r="AT42" i="5"/>
  <c r="AV42" i="5" s="1"/>
  <c r="AT33" i="5"/>
  <c r="AT299" i="5"/>
  <c r="AV299" i="5" s="1"/>
  <c r="AT210" i="5"/>
  <c r="AU210" i="5" s="1"/>
  <c r="AT283" i="5"/>
  <c r="AV283" i="5" s="1"/>
  <c r="AT240" i="5"/>
  <c r="AV240" i="5" s="1"/>
  <c r="AT159" i="5"/>
  <c r="AV159" i="5" s="1"/>
  <c r="AT239" i="5"/>
  <c r="AV239" i="5" s="1"/>
  <c r="AT190" i="5"/>
  <c r="AU190" i="5" s="1"/>
  <c r="AT182" i="5"/>
  <c r="AV182" i="5" s="1"/>
  <c r="AT177" i="5"/>
  <c r="AV177" i="5" s="1"/>
  <c r="AT139" i="5"/>
  <c r="AU139" i="5" s="1"/>
  <c r="AT142" i="5"/>
  <c r="AU142" i="5" s="1"/>
  <c r="AT100" i="5"/>
  <c r="AU100" i="5" s="1"/>
  <c r="AT96" i="5"/>
  <c r="AV96" i="5" s="1"/>
  <c r="AT69" i="5"/>
  <c r="AV69" i="5" s="1"/>
  <c r="AT41" i="5"/>
  <c r="AV41" i="5" s="1"/>
  <c r="AT34" i="5"/>
  <c r="AU34" i="5" s="1"/>
  <c r="AT291" i="5"/>
  <c r="AU291" i="5" s="1"/>
  <c r="AT327" i="5"/>
  <c r="AV327" i="5" s="1"/>
  <c r="AT270" i="5"/>
  <c r="AV270" i="5" s="1"/>
  <c r="AT312" i="5"/>
  <c r="AU312" i="5" s="1"/>
  <c r="AT255" i="5"/>
  <c r="AV255" i="5" s="1"/>
  <c r="AT217" i="5"/>
  <c r="AU217" i="5" s="1"/>
  <c r="AT209" i="5"/>
  <c r="AU209" i="5" s="1"/>
  <c r="AT154" i="5"/>
  <c r="AV154" i="5" s="1"/>
  <c r="AT157" i="5"/>
  <c r="AU157" i="5" s="1"/>
  <c r="AT128" i="5"/>
  <c r="AU128" i="5" s="1"/>
  <c r="AT129" i="5"/>
  <c r="AU129" i="5" s="1"/>
  <c r="AT109" i="5"/>
  <c r="AV109" i="5" s="1"/>
  <c r="AT136" i="5"/>
  <c r="AU136" i="5" s="1"/>
  <c r="AT75" i="5"/>
  <c r="AV75" i="5" s="1"/>
  <c r="AT77" i="5"/>
  <c r="AU77" i="5" s="1"/>
  <c r="AT20" i="5"/>
  <c r="AU20" i="5" s="1"/>
  <c r="AT51" i="5"/>
  <c r="AU51" i="5" s="1"/>
  <c r="AT8" i="5"/>
  <c r="AV8" i="5" s="1"/>
  <c r="AT49" i="5"/>
  <c r="AT27" i="5"/>
  <c r="AT45" i="5"/>
  <c r="AT57" i="5"/>
  <c r="AT58" i="5"/>
  <c r="AT70" i="5"/>
  <c r="AT81" i="5"/>
  <c r="AT97" i="5"/>
  <c r="AT82" i="5"/>
  <c r="AT113" i="5"/>
  <c r="AT143" i="5"/>
  <c r="AT148" i="5"/>
  <c r="AT119" i="5"/>
  <c r="AT146" i="5"/>
  <c r="AT144" i="5"/>
  <c r="AT178" i="5"/>
  <c r="AT149" i="5"/>
  <c r="AT184" i="5"/>
  <c r="AT162" i="5"/>
  <c r="AT194" i="5"/>
  <c r="AT193" i="5"/>
  <c r="AT245" i="5"/>
  <c r="AT216" i="5"/>
  <c r="AT166" i="5"/>
  <c r="AT222" i="5"/>
  <c r="AT214" i="5"/>
  <c r="AT260" i="5"/>
  <c r="AT287" i="5"/>
  <c r="AT315" i="5"/>
  <c r="AT219" i="5"/>
  <c r="AT278" i="5"/>
  <c r="AT304" i="5"/>
  <c r="AT117" i="5"/>
  <c r="AT261" i="5"/>
  <c r="AT285" i="5"/>
  <c r="AT303" i="5"/>
  <c r="AT336" i="5"/>
  <c r="AT345" i="5"/>
  <c r="AT356" i="5"/>
  <c r="AT284" i="5"/>
  <c r="AT341" i="5"/>
  <c r="AT378" i="5"/>
  <c r="AT397" i="5"/>
  <c r="AT403" i="5"/>
  <c r="AT421" i="5"/>
  <c r="AT436" i="5"/>
  <c r="AT262" i="5"/>
  <c r="AT321" i="5"/>
  <c r="AT340" i="5"/>
  <c r="AT368" i="5"/>
  <c r="AT386" i="5"/>
  <c r="AT396" i="5"/>
  <c r="AT410" i="5"/>
  <c r="AT347" i="5"/>
  <c r="AT360" i="5"/>
  <c r="AT375" i="5"/>
  <c r="AT402" i="5"/>
  <c r="AT417" i="5"/>
  <c r="AT275" i="5"/>
  <c r="AT346" i="5"/>
  <c r="AT412" i="5"/>
  <c r="AT438" i="5"/>
  <c r="AT451" i="5"/>
  <c r="AT487" i="5"/>
  <c r="AT494" i="5"/>
  <c r="AT510" i="5"/>
  <c r="AT530" i="5"/>
  <c r="AT370" i="5"/>
  <c r="AT425" i="5"/>
  <c r="AT447" i="5"/>
  <c r="AT460" i="5"/>
  <c r="AT483" i="5"/>
  <c r="AT496" i="5"/>
  <c r="AT516" i="5"/>
  <c r="AT337" i="5"/>
  <c r="AT439" i="5"/>
  <c r="AT459" i="5"/>
  <c r="AT474" i="5"/>
  <c r="AT486" i="5"/>
  <c r="AT507" i="5"/>
  <c r="AT525" i="5"/>
  <c r="AT548" i="5"/>
  <c r="AT553" i="5"/>
  <c r="AT380" i="5"/>
  <c r="AT473" i="5"/>
  <c r="AT492" i="5"/>
  <c r="AT40" i="5"/>
  <c r="AT60" i="5"/>
  <c r="AT59" i="5"/>
  <c r="AT73" i="5"/>
  <c r="AT86" i="5"/>
  <c r="AT98" i="5"/>
  <c r="AT85" i="5"/>
  <c r="AT114" i="5"/>
  <c r="AT145" i="5"/>
  <c r="AT151" i="5"/>
  <c r="AT120" i="5"/>
  <c r="AT152" i="5"/>
  <c r="AT147" i="5"/>
  <c r="AT179" i="5"/>
  <c r="AT161" i="5"/>
  <c r="AT95" i="5"/>
  <c r="AT167" i="5"/>
  <c r="AT197" i="5"/>
  <c r="AT208" i="5"/>
  <c r="AT247" i="5"/>
  <c r="AT220" i="5"/>
  <c r="AT188" i="5"/>
  <c r="AT225" i="5"/>
  <c r="AT228" i="5"/>
  <c r="AT263" i="5"/>
  <c r="AT293" i="5"/>
  <c r="AT320" i="5"/>
  <c r="AT241" i="5"/>
  <c r="AT279" i="5"/>
  <c r="AT308" i="5"/>
  <c r="AT196" i="5"/>
  <c r="AT264" i="5"/>
  <c r="AT288" i="5"/>
  <c r="AT313" i="5"/>
  <c r="AT338" i="5"/>
  <c r="AT348" i="5"/>
  <c r="AT359" i="5"/>
  <c r="AT290" i="5"/>
  <c r="AT364" i="5"/>
  <c r="AT382" i="5"/>
  <c r="AT398" i="5"/>
  <c r="AT406" i="5"/>
  <c r="AT424" i="5"/>
  <c r="AT437" i="5"/>
  <c r="AT267" i="5"/>
  <c r="AT326" i="5"/>
  <c r="AT355" i="5"/>
  <c r="AT372" i="5"/>
  <c r="AT387" i="5"/>
  <c r="AT405" i="5"/>
  <c r="AT202" i="5"/>
  <c r="AT351" i="5"/>
  <c r="AT361" i="5"/>
  <c r="AT383" i="5"/>
  <c r="AT404" i="5"/>
  <c r="AT418" i="5"/>
  <c r="AT305" i="5"/>
  <c r="AT350" i="5"/>
  <c r="AT419" i="5"/>
  <c r="AT443" i="5"/>
  <c r="AT466" i="5"/>
  <c r="AT488" i="5"/>
  <c r="AT499" i="5"/>
  <c r="AT513" i="5"/>
  <c r="AT294" i="5"/>
  <c r="AT384" i="5"/>
  <c r="AT48" i="5"/>
  <c r="AT67" i="5"/>
  <c r="AT26" i="5"/>
  <c r="AT72" i="5"/>
  <c r="AT94" i="5"/>
  <c r="AT105" i="5"/>
  <c r="AT101" i="5"/>
  <c r="AT127" i="5"/>
  <c r="AT104" i="5"/>
  <c r="AT99" i="5"/>
  <c r="AT134" i="5"/>
  <c r="AT116" i="5"/>
  <c r="AT158" i="5"/>
  <c r="AT112" i="5"/>
  <c r="AT169" i="5"/>
  <c r="AT140" i="5"/>
  <c r="AT185" i="5"/>
  <c r="AT201" i="5"/>
  <c r="AT223" i="5"/>
  <c r="AT192" i="5"/>
  <c r="AT232" i="5"/>
  <c r="AT212" i="5"/>
  <c r="AT235" i="5"/>
  <c r="AT252" i="5"/>
  <c r="AT274" i="5"/>
  <c r="AT306" i="5"/>
  <c r="AT332" i="5"/>
  <c r="AT258" i="5"/>
  <c r="AT289" i="5"/>
  <c r="AT319" i="5"/>
  <c r="AT244" i="5"/>
  <c r="AT269" i="5"/>
  <c r="AT296" i="5"/>
  <c r="AT318" i="5"/>
  <c r="AT342" i="5"/>
  <c r="AT349" i="5"/>
  <c r="AT174" i="5"/>
  <c r="AT310" i="5"/>
  <c r="AT366" i="5"/>
  <c r="AT388" i="5"/>
  <c r="AT400" i="5"/>
  <c r="AT415" i="5"/>
  <c r="AT429" i="5"/>
  <c r="AT180" i="5"/>
  <c r="AT268" i="5"/>
  <c r="AT329" i="5"/>
  <c r="AT362" i="5"/>
  <c r="AT376" i="5"/>
  <c r="AT391" i="5"/>
  <c r="AT407" i="5"/>
  <c r="AT317" i="5"/>
  <c r="AT352" i="5"/>
  <c r="AT369" i="5"/>
  <c r="AT385" i="5"/>
  <c r="AT411" i="5"/>
  <c r="AT168" i="5"/>
  <c r="AT334" i="5"/>
  <c r="AT371" i="5"/>
  <c r="AT427" i="5"/>
  <c r="AT445" i="5"/>
  <c r="AT469" i="5"/>
  <c r="AT489" i="5"/>
  <c r="AT502" i="5"/>
  <c r="AT518" i="5"/>
  <c r="AT331" i="5"/>
  <c r="AT408" i="5"/>
  <c r="AT435" i="5"/>
  <c r="AT456" i="5"/>
  <c r="AT472" i="5"/>
  <c r="AT490" i="5"/>
  <c r="AT501" i="5"/>
  <c r="AT272" i="5"/>
  <c r="AT399" i="5"/>
  <c r="AT453" i="5"/>
  <c r="AT468" i="5"/>
  <c r="AT478" i="5"/>
  <c r="AT504" i="5"/>
  <c r="AT514" i="5"/>
  <c r="AT543" i="5"/>
  <c r="AT550" i="5"/>
  <c r="AT559" i="5"/>
  <c r="AT416" i="5"/>
  <c r="AT479" i="5"/>
  <c r="AT509" i="5"/>
  <c r="AT50" i="5"/>
  <c r="AT74" i="5"/>
  <c r="AT124" i="5"/>
  <c r="AT171" i="5"/>
  <c r="AT186" i="5"/>
  <c r="AT242" i="5"/>
  <c r="AT277" i="5"/>
  <c r="AT292" i="5"/>
  <c r="AT300" i="5"/>
  <c r="AT231" i="5"/>
  <c r="AT401" i="5"/>
  <c r="AT298" i="5"/>
  <c r="AT393" i="5"/>
  <c r="AT373" i="5"/>
  <c r="AT344" i="5"/>
  <c r="AT481" i="5"/>
  <c r="AT357" i="5"/>
  <c r="AT448" i="5"/>
  <c r="AT485" i="5"/>
  <c r="AT517" i="5"/>
  <c r="AT452" i="5"/>
  <c r="AT477" i="5"/>
  <c r="AT512" i="5"/>
  <c r="AT549" i="5"/>
  <c r="AT392" i="5"/>
  <c r="AT506" i="5"/>
  <c r="AT539" i="5"/>
  <c r="AT554" i="5"/>
  <c r="AT465" i="5"/>
  <c r="AT526" i="5"/>
  <c r="AT555" i="5"/>
  <c r="AT358" i="5"/>
  <c r="AT395" i="5"/>
  <c r="AT430" i="5"/>
  <c r="AT467" i="5"/>
  <c r="AT537" i="5"/>
  <c r="AT440" i="5"/>
  <c r="AT500" i="5"/>
  <c r="AT534" i="5"/>
  <c r="AT68" i="5"/>
  <c r="AT107" i="5"/>
  <c r="AT106" i="5"/>
  <c r="AT125" i="5"/>
  <c r="AT206" i="5"/>
  <c r="AT213" i="5"/>
  <c r="AT309" i="5"/>
  <c r="AT325" i="5"/>
  <c r="AT323" i="5"/>
  <c r="AT330" i="5"/>
  <c r="AT420" i="5"/>
  <c r="AT333" i="5"/>
  <c r="AT409" i="5"/>
  <c r="AT390" i="5"/>
  <c r="AT379" i="5"/>
  <c r="AT493" i="5"/>
  <c r="AT422" i="5"/>
  <c r="AT458" i="5"/>
  <c r="AT491" i="5"/>
  <c r="AT302" i="5"/>
  <c r="AT457" i="5"/>
  <c r="AT480" i="5"/>
  <c r="AT524" i="5"/>
  <c r="AT551" i="5"/>
  <c r="AT463" i="5"/>
  <c r="AT520" i="5"/>
  <c r="AT541" i="5"/>
  <c r="AT441" i="5"/>
  <c r="AT484" i="5"/>
  <c r="AT533" i="5"/>
  <c r="AT532" i="5"/>
  <c r="AT365" i="5"/>
  <c r="AT413" i="5"/>
  <c r="AT432" i="5"/>
  <c r="AT511" i="5"/>
  <c r="AT556" i="5"/>
  <c r="AT446" i="5"/>
  <c r="AT503" i="5"/>
  <c r="AT538" i="5"/>
  <c r="AT80" i="5"/>
  <c r="AT108" i="5"/>
  <c r="AT137" i="5"/>
  <c r="AT170" i="5"/>
  <c r="AT227" i="5"/>
  <c r="AT236" i="5"/>
  <c r="AT203" i="5"/>
  <c r="AT253" i="5"/>
  <c r="AT343" i="5"/>
  <c r="AT374" i="5"/>
  <c r="AT433" i="5"/>
  <c r="AT367" i="5"/>
  <c r="AT339" i="5"/>
  <c r="AT414" i="5"/>
  <c r="AT431" i="5"/>
  <c r="AT508" i="5"/>
  <c r="AT434" i="5"/>
  <c r="AT464" i="5"/>
  <c r="AT497" i="5"/>
  <c r="AT363" i="5"/>
  <c r="AT462" i="5"/>
  <c r="AT498" i="5"/>
  <c r="AT531" i="5"/>
  <c r="AT557" i="5"/>
  <c r="AT476" i="5"/>
  <c r="AT528" i="5"/>
  <c r="AT542" i="5"/>
  <c r="AT444" i="5"/>
  <c r="AT495" i="5"/>
  <c r="AT545" i="5"/>
  <c r="AT536" i="5"/>
  <c r="AT377" i="5"/>
  <c r="AT426" i="5"/>
  <c r="AT454" i="5"/>
  <c r="AT523" i="5"/>
  <c r="AT558" i="5"/>
  <c r="AT449" i="5"/>
  <c r="AT521" i="5"/>
  <c r="AT544" i="5"/>
  <c r="AT76" i="5"/>
  <c r="AT207" i="5"/>
  <c r="AT354" i="5"/>
  <c r="AT353" i="5"/>
  <c r="AT442" i="5"/>
  <c r="AT471" i="5"/>
  <c r="AT482" i="5"/>
  <c r="AT519" i="5"/>
  <c r="AT428" i="5"/>
  <c r="AT470" i="5"/>
  <c r="AT35" i="5"/>
  <c r="AT281" i="5"/>
  <c r="AT522" i="5"/>
  <c r="AT204" i="5"/>
  <c r="AT389" i="5"/>
  <c r="AT132" i="5"/>
  <c r="AT254" i="5"/>
  <c r="AT394" i="5"/>
  <c r="AT256" i="5"/>
  <c r="AT475" i="5"/>
  <c r="AT505" i="5"/>
  <c r="AT535" i="5"/>
  <c r="AT552" i="5"/>
  <c r="AT461" i="5"/>
  <c r="AT527" i="5"/>
  <c r="AT123" i="5"/>
  <c r="AT266" i="5"/>
  <c r="AT226" i="5"/>
  <c r="AT450" i="5"/>
  <c r="AT515" i="5"/>
  <c r="AT546" i="5"/>
  <c r="AT547" i="5"/>
  <c r="AT540" i="5"/>
  <c r="AT529" i="5"/>
  <c r="AT19" i="5"/>
  <c r="AT155" i="5"/>
  <c r="AT381" i="5"/>
  <c r="AT423" i="5"/>
  <c r="AT455" i="5"/>
  <c r="AT560" i="5"/>
  <c r="AV56" i="5"/>
  <c r="AU56" i="5"/>
  <c r="AZ7" i="5"/>
  <c r="BB7" i="5" s="1"/>
  <c r="AZ344" i="5"/>
  <c r="BB344" i="5" s="1"/>
  <c r="AZ302" i="5"/>
  <c r="BA302" i="5" s="1"/>
  <c r="AZ227" i="5"/>
  <c r="BB227" i="5" s="1"/>
  <c r="AZ256" i="5"/>
  <c r="BB256" i="5" s="1"/>
  <c r="AZ282" i="5"/>
  <c r="BB282" i="5" s="1"/>
  <c r="AZ240" i="5"/>
  <c r="BB240" i="5" s="1"/>
  <c r="AZ235" i="5"/>
  <c r="BB235" i="5" s="1"/>
  <c r="AZ236" i="5"/>
  <c r="BB236" i="5" s="1"/>
  <c r="AZ118" i="5"/>
  <c r="BA118" i="5" s="1"/>
  <c r="AZ115" i="5"/>
  <c r="BA115" i="5" s="1"/>
  <c r="AZ169" i="5"/>
  <c r="BA169" i="5" s="1"/>
  <c r="AZ107" i="5"/>
  <c r="BB107" i="5" s="1"/>
  <c r="AZ111" i="5"/>
  <c r="BA111" i="5" s="1"/>
  <c r="AZ103" i="5"/>
  <c r="BA103" i="5" s="1"/>
  <c r="AZ83" i="5"/>
  <c r="BA83" i="5" s="1"/>
  <c r="AZ53" i="5"/>
  <c r="BA53" i="5" s="1"/>
  <c r="AZ39" i="5"/>
  <c r="BA39" i="5" s="1"/>
  <c r="AZ38" i="5"/>
  <c r="BB38" i="5" s="1"/>
  <c r="AZ8" i="5"/>
  <c r="BA8" i="5" s="1"/>
  <c r="AZ373" i="5"/>
  <c r="BB373" i="5" s="1"/>
  <c r="AZ351" i="5"/>
  <c r="BA351" i="5" s="1"/>
  <c r="AZ309" i="5"/>
  <c r="BB309" i="5" s="1"/>
  <c r="AZ241" i="5"/>
  <c r="BA241" i="5" s="1"/>
  <c r="AZ269" i="5"/>
  <c r="BA269" i="5" s="1"/>
  <c r="AZ288" i="5"/>
  <c r="BA288" i="5" s="1"/>
  <c r="AZ191" i="5"/>
  <c r="BB191" i="5" s="1"/>
  <c r="AZ242" i="5"/>
  <c r="BB242" i="5" s="1"/>
  <c r="AZ179" i="5"/>
  <c r="BA179" i="5" s="1"/>
  <c r="AZ136" i="5"/>
  <c r="BA136" i="5" s="1"/>
  <c r="AZ134" i="5"/>
  <c r="BA134" i="5" s="1"/>
  <c r="AZ177" i="5"/>
  <c r="BA177" i="5" s="1"/>
  <c r="AZ119" i="5"/>
  <c r="BB119" i="5" s="1"/>
  <c r="AZ117" i="5"/>
  <c r="BB117" i="5" s="1"/>
  <c r="AZ94" i="5"/>
  <c r="BB94" i="5" s="1"/>
  <c r="AZ89" i="5"/>
  <c r="BB89" i="5" s="1"/>
  <c r="AZ75" i="5"/>
  <c r="BB75" i="5" s="1"/>
  <c r="AZ52" i="5"/>
  <c r="BA52" i="5" s="1"/>
  <c r="AZ44" i="5"/>
  <c r="BB44" i="5" s="1"/>
  <c r="AZ34" i="5"/>
  <c r="BA34" i="5" s="1"/>
  <c r="AZ206" i="5"/>
  <c r="BB206" i="5" s="1"/>
  <c r="AZ314" i="5"/>
  <c r="BA314" i="5" s="1"/>
  <c r="AZ251" i="5"/>
  <c r="BA251" i="5" s="1"/>
  <c r="AZ284" i="5"/>
  <c r="BA284" i="5" s="1"/>
  <c r="AZ300" i="5"/>
  <c r="BB300" i="5" s="1"/>
  <c r="AZ223" i="5"/>
  <c r="BB223" i="5" s="1"/>
  <c r="AZ178" i="5"/>
  <c r="BB178" i="5" s="1"/>
  <c r="AZ195" i="5"/>
  <c r="BA195" i="5" s="1"/>
  <c r="AZ174" i="5"/>
  <c r="BB174" i="5" s="1"/>
  <c r="AZ156" i="5"/>
  <c r="BB156" i="5" s="1"/>
  <c r="AZ141" i="5"/>
  <c r="BA141" i="5" s="1"/>
  <c r="AZ137" i="5"/>
  <c r="BA137" i="5" s="1"/>
  <c r="AZ125" i="5"/>
  <c r="BB125" i="5" s="1"/>
  <c r="AZ114" i="5"/>
  <c r="BB114" i="5" s="1"/>
  <c r="AZ92" i="5"/>
  <c r="BA92" i="5" s="1"/>
  <c r="AZ47" i="5"/>
  <c r="BB47" i="5" s="1"/>
  <c r="AZ51" i="5"/>
  <c r="BB51" i="5" s="1"/>
  <c r="AZ32" i="5"/>
  <c r="BA32" i="5" s="1"/>
  <c r="AZ45" i="5"/>
  <c r="BB45" i="5" s="1"/>
  <c r="AZ326" i="5"/>
  <c r="BA326" i="5" s="1"/>
  <c r="AZ274" i="5"/>
  <c r="BB274" i="5" s="1"/>
  <c r="AZ219" i="5"/>
  <c r="BA219" i="5" s="1"/>
  <c r="AZ197" i="5"/>
  <c r="BB197" i="5" s="1"/>
  <c r="AZ132" i="5"/>
  <c r="BB132" i="5" s="1"/>
  <c r="AZ81" i="5"/>
  <c r="BB81" i="5" s="1"/>
  <c r="AZ80" i="5"/>
  <c r="BB80" i="5" s="1"/>
  <c r="AZ70" i="5"/>
  <c r="BB70" i="5" s="1"/>
  <c r="AZ68" i="5"/>
  <c r="BA68" i="5" s="1"/>
  <c r="AZ43" i="5"/>
  <c r="BA43" i="5" s="1"/>
  <c r="O12" i="5"/>
  <c r="AZ12" i="5" s="1"/>
  <c r="AZ352" i="5"/>
  <c r="BB352" i="5" s="1"/>
  <c r="AZ339" i="5"/>
  <c r="BB339" i="5" s="1"/>
  <c r="AZ295" i="5"/>
  <c r="BA295" i="5" s="1"/>
  <c r="AZ188" i="5"/>
  <c r="BB188" i="5" s="1"/>
  <c r="AZ247" i="5"/>
  <c r="BA247" i="5" s="1"/>
  <c r="AZ279" i="5"/>
  <c r="BB279" i="5" s="1"/>
  <c r="AZ237" i="5"/>
  <c r="BA237" i="5" s="1"/>
  <c r="AZ226" i="5"/>
  <c r="BB226" i="5" s="1"/>
  <c r="AZ230" i="5"/>
  <c r="BA230" i="5" s="1"/>
  <c r="AZ201" i="5"/>
  <c r="BA201" i="5" s="1"/>
  <c r="AZ180" i="5"/>
  <c r="BB180" i="5" s="1"/>
  <c r="AZ163" i="5"/>
  <c r="BB163" i="5" s="1"/>
  <c r="AZ154" i="5"/>
  <c r="BB154" i="5" s="1"/>
  <c r="AZ100" i="5"/>
  <c r="BA100" i="5" s="1"/>
  <c r="AZ86" i="5"/>
  <c r="BA86" i="5" s="1"/>
  <c r="AZ84" i="5"/>
  <c r="BA84" i="5" s="1"/>
  <c r="AZ78" i="5"/>
  <c r="BA78" i="5" s="1"/>
  <c r="AZ21" i="5"/>
  <c r="BA21" i="5" s="1"/>
  <c r="AZ30" i="5"/>
  <c r="BA30" i="5" s="1"/>
  <c r="AZ369" i="5"/>
  <c r="BA369" i="5" s="1"/>
  <c r="AZ346" i="5"/>
  <c r="BA346" i="5" s="1"/>
  <c r="AZ306" i="5"/>
  <c r="BA306" i="5" s="1"/>
  <c r="AZ232" i="5"/>
  <c r="BB232" i="5" s="1"/>
  <c r="AZ262" i="5"/>
  <c r="BA262" i="5" s="1"/>
  <c r="AZ285" i="5"/>
  <c r="BB285" i="5" s="1"/>
  <c r="AZ189" i="5"/>
  <c r="BA189" i="5" s="1"/>
  <c r="AZ238" i="5"/>
  <c r="BB238" i="5" s="1"/>
  <c r="AZ243" i="5"/>
  <c r="BB243" i="5" s="1"/>
  <c r="AZ130" i="5"/>
  <c r="BB130" i="5" s="1"/>
  <c r="AZ122" i="5"/>
  <c r="BB122" i="5" s="1"/>
  <c r="AZ175" i="5"/>
  <c r="BA175" i="5" s="1"/>
  <c r="AZ113" i="5"/>
  <c r="BA113" i="5" s="1"/>
  <c r="AZ112" i="5"/>
  <c r="BA112" i="5" s="1"/>
  <c r="AZ109" i="5"/>
  <c r="BA109" i="5" s="1"/>
  <c r="AZ88" i="5"/>
  <c r="BB88" i="5" s="1"/>
  <c r="AZ71" i="5"/>
  <c r="BA71" i="5" s="1"/>
  <c r="AZ48" i="5"/>
  <c r="BA48" i="5" s="1"/>
  <c r="AZ41" i="5"/>
  <c r="BB41" i="5" s="1"/>
  <c r="AZ29" i="5"/>
  <c r="BA29" i="5" s="1"/>
  <c r="AZ332" i="5"/>
  <c r="BA332" i="5" s="1"/>
  <c r="AZ283" i="5"/>
  <c r="BA283" i="5" s="1"/>
  <c r="AZ157" i="5"/>
  <c r="BB157" i="5" s="1"/>
  <c r="AZ231" i="5"/>
  <c r="BA231" i="5" s="1"/>
  <c r="AZ221" i="5"/>
  <c r="BB221" i="5" s="1"/>
  <c r="AZ172" i="5"/>
  <c r="BA172" i="5" s="1"/>
  <c r="AZ147" i="5"/>
  <c r="BA147" i="5" s="1"/>
  <c r="AZ105" i="5"/>
  <c r="BA105" i="5" s="1"/>
  <c r="AZ322" i="5"/>
  <c r="BA322" i="5" s="1"/>
  <c r="AZ263" i="5"/>
  <c r="BB263" i="5" s="1"/>
  <c r="AZ298" i="5"/>
  <c r="BA298" i="5" s="1"/>
  <c r="AZ313" i="5"/>
  <c r="BA313" i="5" s="1"/>
  <c r="AZ261" i="5"/>
  <c r="BA261" i="5" s="1"/>
  <c r="AZ199" i="5"/>
  <c r="BA199" i="5" s="1"/>
  <c r="AZ210" i="5"/>
  <c r="BA210" i="5" s="1"/>
  <c r="AZ208" i="5"/>
  <c r="BA208" i="5" s="1"/>
  <c r="AZ168" i="5"/>
  <c r="BB168" i="5" s="1"/>
  <c r="AZ159" i="5"/>
  <c r="BA159" i="5" s="1"/>
  <c r="AZ145" i="5"/>
  <c r="BA145" i="5" s="1"/>
  <c r="AZ133" i="5"/>
  <c r="BA133" i="5" s="1"/>
  <c r="AZ131" i="5"/>
  <c r="BA131" i="5" s="1"/>
  <c r="AZ97" i="5"/>
  <c r="BA97" i="5" s="1"/>
  <c r="AZ65" i="5"/>
  <c r="BB65" i="5" s="1"/>
  <c r="AZ61" i="5"/>
  <c r="BB61" i="5" s="1"/>
  <c r="AZ56" i="5"/>
  <c r="BA56" i="5" s="1"/>
  <c r="AZ26" i="5"/>
  <c r="BA26" i="5" s="1"/>
  <c r="AZ411" i="5"/>
  <c r="BB411" i="5" s="1"/>
  <c r="AZ316" i="5"/>
  <c r="BA316" i="5" s="1"/>
  <c r="AZ329" i="5"/>
  <c r="BB329" i="5" s="1"/>
  <c r="AZ268" i="5"/>
  <c r="BB268" i="5" s="1"/>
  <c r="AZ317" i="5"/>
  <c r="BB317" i="5" s="1"/>
  <c r="AZ323" i="5"/>
  <c r="BA323" i="5" s="1"/>
  <c r="AZ266" i="5"/>
  <c r="BA266" i="5" s="1"/>
  <c r="AZ202" i="5"/>
  <c r="BB202" i="5" s="1"/>
  <c r="AZ214" i="5"/>
  <c r="BB214" i="5" s="1"/>
  <c r="AZ213" i="5"/>
  <c r="BB213" i="5" s="1"/>
  <c r="AZ183" i="5"/>
  <c r="BA183" i="5" s="1"/>
  <c r="AZ166" i="5"/>
  <c r="BB166" i="5" s="1"/>
  <c r="AZ101" i="5"/>
  <c r="BA101" i="5" s="1"/>
  <c r="AZ138" i="5"/>
  <c r="BA138" i="5" s="1"/>
  <c r="AZ144" i="5"/>
  <c r="BB144" i="5" s="1"/>
  <c r="AZ74" i="5"/>
  <c r="BA74" i="5" s="1"/>
  <c r="AZ76" i="5"/>
  <c r="BB76" i="5" s="1"/>
  <c r="AZ54" i="5"/>
  <c r="BB54" i="5" s="1"/>
  <c r="AZ64" i="5"/>
  <c r="BB64" i="5" s="1"/>
  <c r="AZ31" i="5"/>
  <c r="BA31" i="5" s="1"/>
  <c r="AZ338" i="5"/>
  <c r="BA338" i="5" s="1"/>
  <c r="AZ337" i="5"/>
  <c r="BA337" i="5" s="1"/>
  <c r="AZ287" i="5"/>
  <c r="BA287" i="5" s="1"/>
  <c r="AZ331" i="5"/>
  <c r="BA331" i="5" s="1"/>
  <c r="AZ207" i="5"/>
  <c r="BA207" i="5" s="1"/>
  <c r="AZ276" i="5"/>
  <c r="BA276" i="5" s="1"/>
  <c r="AZ234" i="5"/>
  <c r="BA234" i="5" s="1"/>
  <c r="AZ222" i="5"/>
  <c r="BA222" i="5" s="1"/>
  <c r="AZ225" i="5"/>
  <c r="BA225" i="5" s="1"/>
  <c r="AZ198" i="5"/>
  <c r="BB198" i="5" s="1"/>
  <c r="AZ176" i="5"/>
  <c r="BA176" i="5" s="1"/>
  <c r="AZ160" i="5"/>
  <c r="BA160" i="5" s="1"/>
  <c r="AZ149" i="5"/>
  <c r="BB149" i="5" s="1"/>
  <c r="AZ85" i="5"/>
  <c r="BB85" i="5" s="1"/>
  <c r="AZ108" i="5"/>
  <c r="BA108" i="5" s="1"/>
  <c r="AZ82" i="5"/>
  <c r="BA82" i="5" s="1"/>
  <c r="AZ72" i="5"/>
  <c r="BA72" i="5" s="1"/>
  <c r="AZ73" i="5"/>
  <c r="BA73" i="5" s="1"/>
  <c r="AJ172" i="5"/>
  <c r="AK172" i="5" s="1"/>
  <c r="B142" i="2"/>
  <c r="B62" i="5"/>
  <c r="AJ166" i="5"/>
  <c r="AK166" i="5" s="1"/>
  <c r="AJ7" i="5"/>
  <c r="AK7" i="5" s="1"/>
  <c r="AJ109" i="5"/>
  <c r="AL109" i="5" s="1"/>
  <c r="AJ121" i="5"/>
  <c r="AL121" i="5" s="1"/>
  <c r="AJ43" i="5"/>
  <c r="AL43" i="5" s="1"/>
  <c r="AV102" i="5"/>
  <c r="AZ25" i="5"/>
  <c r="AZ42" i="5"/>
  <c r="AZ58" i="5"/>
  <c r="AZ62" i="5"/>
  <c r="AZ96" i="5"/>
  <c r="AZ129" i="5"/>
  <c r="AZ128" i="5"/>
  <c r="AZ142" i="5"/>
  <c r="AZ153" i="5"/>
  <c r="AZ162" i="5"/>
  <c r="AZ205" i="5"/>
  <c r="AZ204" i="5"/>
  <c r="AZ186" i="5"/>
  <c r="AZ259" i="5"/>
  <c r="AZ307" i="5"/>
  <c r="AZ294" i="5"/>
  <c r="AZ257" i="5"/>
  <c r="AZ320" i="5"/>
  <c r="AZ358" i="5"/>
  <c r="AZ335" i="5"/>
  <c r="AZ383" i="5"/>
  <c r="AZ410" i="5"/>
  <c r="AZ428" i="5"/>
  <c r="AZ440" i="5"/>
  <c r="AZ277" i="5"/>
  <c r="AZ345" i="5"/>
  <c r="AZ361" i="5"/>
  <c r="AZ375" i="5"/>
  <c r="AZ386" i="5"/>
  <c r="AZ399" i="5"/>
  <c r="AZ417" i="5"/>
  <c r="AZ245" i="5"/>
  <c r="AZ280" i="5"/>
  <c r="AZ333" i="5"/>
  <c r="AZ342" i="5"/>
  <c r="AZ364" i="5"/>
  <c r="AZ378" i="5"/>
  <c r="AZ398" i="5"/>
  <c r="AZ416" i="5"/>
  <c r="AZ368" i="5"/>
  <c r="AZ452" i="5"/>
  <c r="AZ460" i="5"/>
  <c r="AZ478" i="5"/>
  <c r="AZ504" i="5"/>
  <c r="AZ531" i="5"/>
  <c r="AZ382" i="5"/>
  <c r="AZ403" i="5"/>
  <c r="AZ429" i="5"/>
  <c r="AZ461" i="5"/>
  <c r="AZ468" i="5"/>
  <c r="AZ480" i="5"/>
  <c r="AZ507" i="5"/>
  <c r="AZ516" i="5"/>
  <c r="AZ353" i="5"/>
  <c r="AZ405" i="5"/>
  <c r="AZ441" i="5"/>
  <c r="AZ453" i="5"/>
  <c r="AZ466" i="5"/>
  <c r="AZ479" i="5"/>
  <c r="AZ488" i="5"/>
  <c r="AZ494" i="5"/>
  <c r="AZ502" i="5"/>
  <c r="AZ509" i="5"/>
  <c r="AZ522" i="5"/>
  <c r="AZ545" i="5"/>
  <c r="AZ229" i="5"/>
  <c r="AZ425" i="5"/>
  <c r="AZ513" i="5"/>
  <c r="AZ529" i="5"/>
  <c r="AZ548" i="5"/>
  <c r="AZ558" i="5"/>
  <c r="AZ448" i="5"/>
  <c r="AZ544" i="5"/>
  <c r="AZ407" i="5"/>
  <c r="AZ501" i="5"/>
  <c r="AZ541" i="5"/>
  <c r="AZ559" i="5"/>
  <c r="AZ464" i="5"/>
  <c r="AZ19" i="5"/>
  <c r="AZ37" i="5"/>
  <c r="AZ67" i="5"/>
  <c r="AZ57" i="5"/>
  <c r="AZ77" i="5"/>
  <c r="AZ102" i="5"/>
  <c r="AZ151" i="5"/>
  <c r="AZ146" i="5"/>
  <c r="AZ104" i="5"/>
  <c r="AZ170" i="5"/>
  <c r="AZ187" i="5"/>
  <c r="AZ216" i="5"/>
  <c r="AZ217" i="5"/>
  <c r="AZ215" i="5"/>
  <c r="AZ271" i="5"/>
  <c r="AZ327" i="5"/>
  <c r="AZ321" i="5"/>
  <c r="AZ275" i="5"/>
  <c r="AZ330" i="5"/>
  <c r="AZ224" i="5"/>
  <c r="AZ360" i="5"/>
  <c r="AZ385" i="5"/>
  <c r="AZ414" i="5"/>
  <c r="AZ431" i="5"/>
  <c r="AZ250" i="5"/>
  <c r="AZ293" i="5"/>
  <c r="AZ350" i="5"/>
  <c r="AZ363" i="5"/>
  <c r="AZ377" i="5"/>
  <c r="AZ389" i="5"/>
  <c r="AZ402" i="5"/>
  <c r="AZ418" i="5"/>
  <c r="AZ254" i="5"/>
  <c r="AZ286" i="5"/>
  <c r="AZ336" i="5"/>
  <c r="AZ348" i="5"/>
  <c r="AZ366" i="5"/>
  <c r="AZ379" i="5"/>
  <c r="AZ400" i="5"/>
  <c r="AZ311" i="5"/>
  <c r="AZ401" i="5"/>
  <c r="AZ457" i="5"/>
  <c r="AZ471" i="5"/>
  <c r="AZ490" i="5"/>
  <c r="AZ515" i="5"/>
  <c r="AZ532" i="5"/>
  <c r="AZ391" i="5"/>
  <c r="AZ412" i="5"/>
  <c r="AZ439" i="5"/>
  <c r="AZ462" i="5"/>
  <c r="AZ470" i="5"/>
  <c r="AZ484" i="5"/>
  <c r="AZ511" i="5"/>
  <c r="AZ519" i="5"/>
  <c r="AZ381" i="5"/>
  <c r="AZ430" i="5"/>
  <c r="AZ443" i="5"/>
  <c r="AZ454" i="5"/>
  <c r="AZ469" i="5"/>
  <c r="AZ482" i="5"/>
  <c r="AZ489" i="5"/>
  <c r="AZ495" i="5"/>
  <c r="AZ503" i="5"/>
  <c r="AZ510" i="5"/>
  <c r="AZ523" i="5"/>
  <c r="AZ554" i="5"/>
  <c r="AZ297" i="5"/>
  <c r="AZ449" i="5"/>
  <c r="AZ517" i="5"/>
  <c r="AZ534" i="5"/>
  <c r="AZ553" i="5"/>
  <c r="AZ433" i="5"/>
  <c r="AZ524" i="5"/>
  <c r="AZ549" i="5"/>
  <c r="AZ424" i="5"/>
  <c r="AZ528" i="5"/>
  <c r="AZ542" i="5"/>
  <c r="AZ372" i="5"/>
  <c r="AZ483" i="5"/>
  <c r="AZ33" i="5"/>
  <c r="AZ28" i="5"/>
  <c r="AZ49" i="5"/>
  <c r="AZ93" i="5"/>
  <c r="AZ87" i="5"/>
  <c r="AZ106" i="5"/>
  <c r="AZ155" i="5"/>
  <c r="AZ167" i="5"/>
  <c r="AZ185" i="5"/>
  <c r="AZ203" i="5"/>
  <c r="AZ233" i="5"/>
  <c r="AZ228" i="5"/>
  <c r="AZ239" i="5"/>
  <c r="AZ281" i="5"/>
  <c r="AZ253" i="5"/>
  <c r="AZ192" i="5"/>
  <c r="AZ301" i="5"/>
  <c r="AZ343" i="5"/>
  <c r="AZ258" i="5"/>
  <c r="AZ367" i="5"/>
  <c r="AZ404" i="5"/>
  <c r="AZ420" i="5"/>
  <c r="AZ435" i="5"/>
  <c r="AZ252" i="5"/>
  <c r="AZ304" i="5"/>
  <c r="AZ356" i="5"/>
  <c r="AZ365" i="5"/>
  <c r="AZ380" i="5"/>
  <c r="AZ390" i="5"/>
  <c r="AZ408" i="5"/>
  <c r="AZ419" i="5"/>
  <c r="AZ267" i="5"/>
  <c r="AZ289" i="5"/>
  <c r="AZ340" i="5"/>
  <c r="AZ349" i="5"/>
  <c r="AZ371" i="5"/>
  <c r="AZ388" i="5"/>
  <c r="AZ406" i="5"/>
  <c r="AZ354" i="5"/>
  <c r="AZ422" i="5"/>
  <c r="AZ458" i="5"/>
  <c r="AZ472" i="5"/>
  <c r="AZ496" i="5"/>
  <c r="AZ525" i="5"/>
  <c r="AZ270" i="5"/>
  <c r="AZ394" i="5"/>
  <c r="AZ426" i="5"/>
  <c r="AZ446" i="5"/>
  <c r="AZ465" i="5"/>
  <c r="AZ474" i="5"/>
  <c r="AZ498" i="5"/>
  <c r="AZ512" i="5"/>
  <c r="AZ308" i="5"/>
  <c r="AZ387" i="5"/>
  <c r="AZ432" i="5"/>
  <c r="AZ444" i="5"/>
  <c r="AZ455" i="5"/>
  <c r="AZ473" i="5"/>
  <c r="AZ486" i="5"/>
  <c r="AZ492" i="5"/>
  <c r="AZ499" i="5"/>
  <c r="AZ505" i="5"/>
  <c r="AZ518" i="5"/>
  <c r="AZ530" i="5"/>
  <c r="AZ555" i="5"/>
  <c r="AZ328" i="5"/>
  <c r="AZ456" i="5"/>
  <c r="AZ521" i="5"/>
  <c r="AZ536" i="5"/>
  <c r="AZ557" i="5"/>
  <c r="AZ437" i="5"/>
  <c r="AZ538" i="5"/>
  <c r="AZ550" i="5"/>
  <c r="AZ481" i="5"/>
  <c r="AZ533" i="5"/>
  <c r="AZ547" i="5"/>
  <c r="AZ438" i="5"/>
  <c r="AZ537" i="5"/>
  <c r="AZ36" i="5"/>
  <c r="AZ46" i="5"/>
  <c r="AZ63" i="5"/>
  <c r="AZ79" i="5"/>
  <c r="AZ90" i="5"/>
  <c r="AZ99" i="5"/>
  <c r="AZ120" i="5"/>
  <c r="AZ124" i="5"/>
  <c r="AZ181" i="5"/>
  <c r="AZ143" i="5"/>
  <c r="AZ165" i="5"/>
  <c r="AZ182" i="5"/>
  <c r="AZ244" i="5"/>
  <c r="AZ193" i="5"/>
  <c r="AZ291" i="5"/>
  <c r="AZ272" i="5"/>
  <c r="AZ248" i="5"/>
  <c r="AZ310" i="5"/>
  <c r="AZ357" i="5"/>
  <c r="AZ319" i="5"/>
  <c r="AZ376" i="5"/>
  <c r="AZ409" i="5"/>
  <c r="AZ423" i="5"/>
  <c r="AZ436" i="5"/>
  <c r="AZ260" i="5"/>
  <c r="AZ334" i="5"/>
  <c r="AZ359" i="5"/>
  <c r="AZ370" i="5"/>
  <c r="AZ384" i="5"/>
  <c r="AZ392" i="5"/>
  <c r="AZ413" i="5"/>
  <c r="AZ209" i="5"/>
  <c r="AZ273" i="5"/>
  <c r="AZ292" i="5"/>
  <c r="AZ341" i="5"/>
  <c r="AZ355" i="5"/>
  <c r="AZ374" i="5"/>
  <c r="AZ395" i="5"/>
  <c r="AZ415" i="5"/>
  <c r="AZ362" i="5"/>
  <c r="AZ442" i="5"/>
  <c r="AZ459" i="5"/>
  <c r="AZ475" i="5"/>
  <c r="AZ497" i="5"/>
  <c r="AZ526" i="5"/>
  <c r="AZ325" i="5"/>
  <c r="AZ397" i="5"/>
  <c r="AZ427" i="5"/>
  <c r="AZ447" i="5"/>
  <c r="AZ467" i="5"/>
  <c r="AZ477" i="5"/>
  <c r="AZ506" i="5"/>
  <c r="AZ514" i="5"/>
  <c r="AZ347" i="5"/>
  <c r="AZ396" i="5"/>
  <c r="AZ434" i="5"/>
  <c r="AZ451" i="5"/>
  <c r="AZ463" i="5"/>
  <c r="AZ476" i="5"/>
  <c r="AZ487" i="5"/>
  <c r="AZ493" i="5"/>
  <c r="AZ500" i="5"/>
  <c r="AZ508" i="5"/>
  <c r="AZ520" i="5"/>
  <c r="AZ539" i="5"/>
  <c r="AZ556" i="5"/>
  <c r="AZ421" i="5"/>
  <c r="AZ485" i="5"/>
  <c r="AZ527" i="5"/>
  <c r="AZ540" i="5"/>
  <c r="AZ560" i="5"/>
  <c r="AZ445" i="5"/>
  <c r="AZ543" i="5"/>
  <c r="AZ551" i="5"/>
  <c r="AZ491" i="5"/>
  <c r="AZ535" i="5"/>
  <c r="AZ552" i="5"/>
  <c r="AZ450" i="5"/>
  <c r="AZ546" i="5"/>
  <c r="AW26" i="5"/>
  <c r="AW48" i="5"/>
  <c r="AW33" i="5"/>
  <c r="AW46" i="5"/>
  <c r="AW32" i="5"/>
  <c r="AW45" i="5"/>
  <c r="AW34" i="5"/>
  <c r="AW59" i="5"/>
  <c r="AW36" i="5"/>
  <c r="AW54" i="5"/>
  <c r="AW65" i="5"/>
  <c r="AW40" i="5"/>
  <c r="AW58" i="5"/>
  <c r="AW83" i="5"/>
  <c r="AW70" i="5"/>
  <c r="AW81" i="5"/>
  <c r="AW99" i="5"/>
  <c r="AW84" i="5"/>
  <c r="AW95" i="5"/>
  <c r="AW107" i="5"/>
  <c r="AW111" i="5"/>
  <c r="AW120" i="5"/>
  <c r="AW135" i="5"/>
  <c r="AW152" i="5"/>
  <c r="AW115" i="5"/>
  <c r="AW130" i="5"/>
  <c r="AW141" i="5"/>
  <c r="AW157" i="5"/>
  <c r="AW102" i="5"/>
  <c r="AW114" i="5"/>
  <c r="AW131" i="5"/>
  <c r="AW147" i="5"/>
  <c r="AW155" i="5"/>
  <c r="AW164" i="5"/>
  <c r="AW176" i="5"/>
  <c r="AW156" i="5"/>
  <c r="AW183" i="5"/>
  <c r="AW170" i="5"/>
  <c r="AW188" i="5"/>
  <c r="AW205" i="5"/>
  <c r="AW148" i="5"/>
  <c r="AW195" i="5"/>
  <c r="AW214" i="5"/>
  <c r="AW226" i="5"/>
  <c r="AW240" i="5"/>
  <c r="AW197" i="5"/>
  <c r="AW231" i="5"/>
  <c r="AW169" i="5"/>
  <c r="AW187" i="5"/>
  <c r="AW198" i="5"/>
  <c r="AW216" i="5"/>
  <c r="AW224" i="5"/>
  <c r="AW241" i="5"/>
  <c r="AW233" i="5"/>
  <c r="AW253" i="5"/>
  <c r="AW272" i="5"/>
  <c r="AW294" i="5"/>
  <c r="AW310" i="5"/>
  <c r="AW329" i="5"/>
  <c r="AW225" i="5"/>
  <c r="AW251" i="5"/>
  <c r="AW263" i="5"/>
  <c r="AW280" i="5"/>
  <c r="AW295" i="5"/>
  <c r="AW312" i="5"/>
  <c r="AW322" i="5"/>
  <c r="AW213" i="5"/>
  <c r="AW252" i="5"/>
  <c r="AW270" i="5"/>
  <c r="AW282" i="5"/>
  <c r="AW297" i="5"/>
  <c r="AW311" i="5"/>
  <c r="AW328" i="5"/>
  <c r="AW347" i="5"/>
  <c r="AW246" i="5"/>
  <c r="AW313" i="5"/>
  <c r="AW345" i="5"/>
  <c r="AW357" i="5"/>
  <c r="AW370" i="5"/>
  <c r="AW380" i="5"/>
  <c r="AW392" i="5"/>
  <c r="AW413" i="5"/>
  <c r="AW427" i="5"/>
  <c r="AW271" i="5"/>
  <c r="AW341" i="5"/>
  <c r="O13" i="5"/>
  <c r="AJ13" i="5" s="1"/>
  <c r="AW22" i="5"/>
  <c r="AW31" i="5"/>
  <c r="AW20" i="5"/>
  <c r="AW38" i="5"/>
  <c r="AW21" i="5"/>
  <c r="AW35" i="5"/>
  <c r="AW52" i="5"/>
  <c r="AW51" i="5"/>
  <c r="AW61" i="5"/>
  <c r="AW47" i="5"/>
  <c r="AW56" i="5"/>
  <c r="AW71" i="5"/>
  <c r="AW60" i="5"/>
  <c r="AW68" i="5"/>
  <c r="AW88" i="5"/>
  <c r="AW72" i="5"/>
  <c r="AW85" i="5"/>
  <c r="AW101" i="5"/>
  <c r="AW89" i="5"/>
  <c r="AW96" i="5"/>
  <c r="AW97" i="5"/>
  <c r="AW112" i="5"/>
  <c r="AW125" i="5"/>
  <c r="AW138" i="5"/>
  <c r="AW158" i="5"/>
  <c r="AW116" i="5"/>
  <c r="AW132" i="5"/>
  <c r="AW143" i="5"/>
  <c r="AW64" i="5"/>
  <c r="AW105" i="5"/>
  <c r="AW121" i="5"/>
  <c r="AW133" i="5"/>
  <c r="AW150" i="5"/>
  <c r="AW113" i="5"/>
  <c r="AW166" i="5"/>
  <c r="AW180" i="5"/>
  <c r="AW173" i="5"/>
  <c r="AW119" i="5"/>
  <c r="AW171" i="5"/>
  <c r="AW191" i="5"/>
  <c r="AW207" i="5"/>
  <c r="AW160" i="5"/>
  <c r="AW203" i="5"/>
  <c r="AW217" i="5"/>
  <c r="AW228" i="5"/>
  <c r="AW242" i="5"/>
  <c r="AW199" i="5"/>
  <c r="AW234" i="5"/>
  <c r="AW172" i="5"/>
  <c r="AW189" i="5"/>
  <c r="AW201" i="5"/>
  <c r="AW218" i="5"/>
  <c r="AW227" i="5"/>
  <c r="AW163" i="5"/>
  <c r="AW236" i="5"/>
  <c r="AW256" i="5"/>
  <c r="AW278" i="5"/>
  <c r="AW298" i="5"/>
  <c r="AW317" i="5"/>
  <c r="AW330" i="5"/>
  <c r="AW230" i="5"/>
  <c r="AW254" i="5"/>
  <c r="AW265" i="5"/>
  <c r="AW283" i="5"/>
  <c r="AW301" i="5"/>
  <c r="AW314" i="5"/>
  <c r="AW324" i="5"/>
  <c r="AW221" i="5"/>
  <c r="AW258" i="5"/>
  <c r="AW273" i="5"/>
  <c r="AW286" i="5"/>
  <c r="AW299" i="5"/>
  <c r="AW316" i="5"/>
  <c r="AW333" i="5"/>
  <c r="AW353" i="5"/>
  <c r="AW281" i="5"/>
  <c r="AW327" i="5"/>
  <c r="AW346" i="5"/>
  <c r="AW359" i="5"/>
  <c r="AW371" i="5"/>
  <c r="AW384" i="5"/>
  <c r="AW399" i="5"/>
  <c r="AW416" i="5"/>
  <c r="AW8" i="5"/>
  <c r="AW23" i="5"/>
  <c r="AW37" i="5"/>
  <c r="AW29" i="5"/>
  <c r="AW41" i="5"/>
  <c r="AW24" i="5"/>
  <c r="AW39" i="5"/>
  <c r="AW63" i="5"/>
  <c r="AW53" i="5"/>
  <c r="AW66" i="5"/>
  <c r="AW49" i="5"/>
  <c r="AW57" i="5"/>
  <c r="AW75" i="5"/>
  <c r="AW76" i="5"/>
  <c r="AW73" i="5"/>
  <c r="AW91" i="5"/>
  <c r="AW82" i="5"/>
  <c r="AW93" i="5"/>
  <c r="AW104" i="5"/>
  <c r="AW90" i="5"/>
  <c r="AW98" i="5"/>
  <c r="AW103" i="5"/>
  <c r="AW117" i="5"/>
  <c r="AW126" i="5"/>
  <c r="AW146" i="5"/>
  <c r="AW161" i="5"/>
  <c r="AW122" i="5"/>
  <c r="AW134" i="5"/>
  <c r="AW145" i="5"/>
  <c r="AW80" i="5"/>
  <c r="AW108" i="5"/>
  <c r="AW123" i="5"/>
  <c r="AW140" i="5"/>
  <c r="AW151" i="5"/>
  <c r="AW139" i="5"/>
  <c r="AW168" i="5"/>
  <c r="AW185" i="5"/>
  <c r="AW178" i="5"/>
  <c r="AW137" i="5"/>
  <c r="AW182" i="5"/>
  <c r="AW196" i="5"/>
  <c r="AW124" i="5"/>
  <c r="AW162" i="5"/>
  <c r="AW204" i="5"/>
  <c r="AW219" i="5"/>
  <c r="AW235" i="5"/>
  <c r="AW244" i="5"/>
  <c r="AW202" i="5"/>
  <c r="AW237" i="5"/>
  <c r="AW175" i="5"/>
  <c r="AW192" i="5"/>
  <c r="AW206" i="5"/>
  <c r="AW220" i="5"/>
  <c r="AW229" i="5"/>
  <c r="AW208" i="5"/>
  <c r="AW243" i="5"/>
  <c r="AW262" i="5"/>
  <c r="AW284" i="5"/>
  <c r="AW302" i="5"/>
  <c r="AW321" i="5"/>
  <c r="AW331" i="5"/>
  <c r="AW248" i="5"/>
  <c r="AW255" i="5"/>
  <c r="AW268" i="5"/>
  <c r="AW287" i="5"/>
  <c r="AW306" i="5"/>
  <c r="AW315" i="5"/>
  <c r="AW332" i="5"/>
  <c r="AW245" i="5"/>
  <c r="AW260" i="5"/>
  <c r="AW276" i="5"/>
  <c r="AW289" i="5"/>
  <c r="AW304" i="5"/>
  <c r="AW319" i="5"/>
  <c r="AW334" i="5"/>
  <c r="AW355" i="5"/>
  <c r="AW296" i="5"/>
  <c r="AW337" i="5"/>
  <c r="AW350" i="5"/>
  <c r="AW363" i="5"/>
  <c r="AW377" i="5"/>
  <c r="AW389" i="5"/>
  <c r="AW408" i="5"/>
  <c r="AW419" i="5"/>
  <c r="AW434" i="5"/>
  <c r="AW25" i="5"/>
  <c r="AW43" i="5"/>
  <c r="AW30" i="5"/>
  <c r="AW44" i="5"/>
  <c r="AW28" i="5"/>
  <c r="AW42" i="5"/>
  <c r="AW69" i="5"/>
  <c r="AW55" i="5"/>
  <c r="AW27" i="5"/>
  <c r="AW50" i="5"/>
  <c r="AW62" i="5"/>
  <c r="AW79" i="5"/>
  <c r="AW77" i="5"/>
  <c r="AW74" i="5"/>
  <c r="AW67" i="5"/>
  <c r="AW78" i="5"/>
  <c r="AW94" i="5"/>
  <c r="AW109" i="5"/>
  <c r="AW92" i="5"/>
  <c r="AW100" i="5"/>
  <c r="AW106" i="5"/>
  <c r="AW118" i="5"/>
  <c r="AW128" i="5"/>
  <c r="AW149" i="5"/>
  <c r="AW87" i="5"/>
  <c r="AW127" i="5"/>
  <c r="AW136" i="5"/>
  <c r="AW153" i="5"/>
  <c r="AW86" i="5"/>
  <c r="AW110" i="5"/>
  <c r="AW129" i="5"/>
  <c r="AW144" i="5"/>
  <c r="AW154" i="5"/>
  <c r="AW159" i="5"/>
  <c r="AW174" i="5"/>
  <c r="AW186" i="5"/>
  <c r="AW179" i="5"/>
  <c r="AW165" i="5"/>
  <c r="AW184" i="5"/>
  <c r="AW200" i="5"/>
  <c r="AW142" i="5"/>
  <c r="AW194" i="5"/>
  <c r="AW210" i="5"/>
  <c r="AW222" i="5"/>
  <c r="AW238" i="5"/>
  <c r="AW167" i="5"/>
  <c r="AW215" i="5"/>
  <c r="AW239" i="5"/>
  <c r="AW181" i="5"/>
  <c r="AW193" i="5"/>
  <c r="AW209" i="5"/>
  <c r="AW223" i="5"/>
  <c r="AW232" i="5"/>
  <c r="AW211" i="5"/>
  <c r="AW247" i="5"/>
  <c r="AW269" i="5"/>
  <c r="AW290" i="5"/>
  <c r="AW305" i="5"/>
  <c r="AW326" i="5"/>
  <c r="AW177" i="5"/>
  <c r="AW249" i="5"/>
  <c r="AW257" i="5"/>
  <c r="AW275" i="5"/>
  <c r="AW293" i="5"/>
  <c r="AW309" i="5"/>
  <c r="AW320" i="5"/>
  <c r="AW190" i="5"/>
  <c r="AW250" i="5"/>
  <c r="AW267" i="5"/>
  <c r="AW277" i="5"/>
  <c r="AW292" i="5"/>
  <c r="AW308" i="5"/>
  <c r="AW325" i="5"/>
  <c r="AW340" i="5"/>
  <c r="AW212" i="5"/>
  <c r="AW307" i="5"/>
  <c r="AW344" i="5"/>
  <c r="AW356" i="5"/>
  <c r="AW365" i="5"/>
  <c r="AW379" i="5"/>
  <c r="AW390" i="5"/>
  <c r="AW412" i="5"/>
  <c r="AW426" i="5"/>
  <c r="AW318" i="5"/>
  <c r="AW349" i="5"/>
  <c r="AW366" i="5"/>
  <c r="AW394" i="5"/>
  <c r="AW406" i="5"/>
  <c r="AW264" i="5"/>
  <c r="AW343" i="5"/>
  <c r="AW376" i="5"/>
  <c r="AW387" i="5"/>
  <c r="AW401" i="5"/>
  <c r="AW409" i="5"/>
  <c r="AW385" i="5"/>
  <c r="AW440" i="5"/>
  <c r="AW461" i="5"/>
  <c r="AW476" i="5"/>
  <c r="AW482" i="5"/>
  <c r="AW500" i="5"/>
  <c r="AW512" i="5"/>
  <c r="AW288" i="5"/>
  <c r="AW418" i="5"/>
  <c r="AW441" i="5"/>
  <c r="AW451" i="5"/>
  <c r="AW466" i="5"/>
  <c r="AW487" i="5"/>
  <c r="AW494" i="5"/>
  <c r="AW508" i="5"/>
  <c r="AW518" i="5"/>
  <c r="AW335" i="5"/>
  <c r="AW393" i="5"/>
  <c r="AW417" i="5"/>
  <c r="AW425" i="5"/>
  <c r="AW442" i="5"/>
  <c r="AW458" i="5"/>
  <c r="AW483" i="5"/>
  <c r="AW496" i="5"/>
  <c r="AW527" i="5"/>
  <c r="AW538" i="5"/>
  <c r="AW547" i="5"/>
  <c r="AW279" i="5"/>
  <c r="AW423" i="5"/>
  <c r="AW532" i="5"/>
  <c r="AW556" i="5"/>
  <c r="AW516" i="5"/>
  <c r="AW535" i="5"/>
  <c r="AW551" i="5"/>
  <c r="AW383" i="5"/>
  <c r="AW475" i="5"/>
  <c r="AW504" i="5"/>
  <c r="AW555" i="5"/>
  <c r="AW497" i="5"/>
  <c r="AW543" i="5"/>
  <c r="AW432" i="5"/>
  <c r="AW336" i="5"/>
  <c r="AW354" i="5"/>
  <c r="AW374" i="5"/>
  <c r="AW395" i="5"/>
  <c r="AW415" i="5"/>
  <c r="AW300" i="5"/>
  <c r="AW362" i="5"/>
  <c r="AW381" i="5"/>
  <c r="AW391" i="5"/>
  <c r="AW403" i="5"/>
  <c r="AW410" i="5"/>
  <c r="AW428" i="5"/>
  <c r="AW444" i="5"/>
  <c r="AW465" i="5"/>
  <c r="AW477" i="5"/>
  <c r="AW484" i="5"/>
  <c r="AW505" i="5"/>
  <c r="AW519" i="5"/>
  <c r="AW361" i="5"/>
  <c r="AW431" i="5"/>
  <c r="AW443" i="5"/>
  <c r="AW454" i="5"/>
  <c r="AW469" i="5"/>
  <c r="AW488" i="5"/>
  <c r="AW499" i="5"/>
  <c r="AW509" i="5"/>
  <c r="AW520" i="5"/>
  <c r="AW339" i="5"/>
  <c r="AW402" i="5"/>
  <c r="AW421" i="5"/>
  <c r="AW433" i="5"/>
  <c r="AW445" i="5"/>
  <c r="AW460" i="5"/>
  <c r="AW485" i="5"/>
  <c r="AW501" i="5"/>
  <c r="AW533" i="5"/>
  <c r="AW540" i="5"/>
  <c r="AW552" i="5"/>
  <c r="AW285" i="5"/>
  <c r="AW452" i="5"/>
  <c r="AW549" i="5"/>
  <c r="AW369" i="5"/>
  <c r="AW522" i="5"/>
  <c r="AW539" i="5"/>
  <c r="AW554" i="5"/>
  <c r="AW447" i="5"/>
  <c r="AW478" i="5"/>
  <c r="AW515" i="5"/>
  <c r="AW557" i="5"/>
  <c r="AW507" i="5"/>
  <c r="AW545" i="5"/>
  <c r="AW439" i="5"/>
  <c r="AW342" i="5"/>
  <c r="AW358" i="5"/>
  <c r="AW378" i="5"/>
  <c r="AW398" i="5"/>
  <c r="AW420" i="5"/>
  <c r="AW303" i="5"/>
  <c r="AW368" i="5"/>
  <c r="AW382" i="5"/>
  <c r="AW396" i="5"/>
  <c r="AW405" i="5"/>
  <c r="AW338" i="5"/>
  <c r="AW429" i="5"/>
  <c r="AW446" i="5"/>
  <c r="AW467" i="5"/>
  <c r="AW479" i="5"/>
  <c r="AW492" i="5"/>
  <c r="AW506" i="5"/>
  <c r="AW523" i="5"/>
  <c r="AW367" i="5"/>
  <c r="AW436" i="5"/>
  <c r="AW449" i="5"/>
  <c r="AW455" i="5"/>
  <c r="AW473" i="5"/>
  <c r="AW489" i="5"/>
  <c r="AW502" i="5"/>
  <c r="AW510" i="5"/>
  <c r="AW521" i="5"/>
  <c r="AW351" i="5"/>
  <c r="AW411" i="5"/>
  <c r="AW422" i="5"/>
  <c r="AW435" i="5"/>
  <c r="AW448" i="5"/>
  <c r="AW464" i="5"/>
  <c r="AW490" i="5"/>
  <c r="AW517" i="5"/>
  <c r="AW534" i="5"/>
  <c r="AW542" i="5"/>
  <c r="AW558" i="5"/>
  <c r="AW291" i="5"/>
  <c r="AW459" i="5"/>
  <c r="AW550" i="5"/>
  <c r="AW462" i="5"/>
  <c r="AW528" i="5"/>
  <c r="AW541" i="5"/>
  <c r="AW548" i="5"/>
  <c r="AW457" i="5"/>
  <c r="AW486" i="5"/>
  <c r="AW525" i="5"/>
  <c r="AW360" i="5"/>
  <c r="AW514" i="5"/>
  <c r="AW553" i="5"/>
  <c r="AW388" i="5"/>
  <c r="AW372" i="5"/>
  <c r="AW352" i="5"/>
  <c r="AW480" i="5"/>
  <c r="AW373" i="5"/>
  <c r="AW481" i="5"/>
  <c r="AW266" i="5"/>
  <c r="AW437" i="5"/>
  <c r="AW526" i="5"/>
  <c r="AW404" i="5"/>
  <c r="AW530" i="5"/>
  <c r="AW498" i="5"/>
  <c r="AW19" i="5"/>
  <c r="AW274" i="5"/>
  <c r="AW400" i="5"/>
  <c r="AW386" i="5"/>
  <c r="AW430" i="5"/>
  <c r="AW495" i="5"/>
  <c r="AW438" i="5"/>
  <c r="AW493" i="5"/>
  <c r="AW375" i="5"/>
  <c r="AW456" i="5"/>
  <c r="AW536" i="5"/>
  <c r="AW524" i="5"/>
  <c r="AW546" i="5"/>
  <c r="AW531" i="5"/>
  <c r="AW348" i="5"/>
  <c r="AW259" i="5"/>
  <c r="AW397" i="5"/>
  <c r="AW453" i="5"/>
  <c r="AW511" i="5"/>
  <c r="AW450" i="5"/>
  <c r="AW503" i="5"/>
  <c r="AW414" i="5"/>
  <c r="AW472" i="5"/>
  <c r="AW544" i="5"/>
  <c r="AW559" i="5"/>
  <c r="AW560" i="5"/>
  <c r="AW474" i="5"/>
  <c r="AW470" i="5"/>
  <c r="AW424" i="5"/>
  <c r="AW471" i="5"/>
  <c r="AW364" i="5"/>
  <c r="AW537" i="5"/>
  <c r="AW491" i="5"/>
  <c r="AW529" i="5"/>
  <c r="AW323" i="5"/>
  <c r="AW463" i="5"/>
  <c r="AW261" i="5"/>
  <c r="AW407" i="5"/>
  <c r="AW513" i="5"/>
  <c r="AW468" i="5"/>
  <c r="V56" i="5"/>
  <c r="V475" i="5"/>
  <c r="U181" i="5"/>
  <c r="V338" i="5"/>
  <c r="U338" i="5"/>
  <c r="U120" i="5"/>
  <c r="BB295" i="5"/>
  <c r="U538" i="5"/>
  <c r="V538" i="5"/>
  <c r="U533" i="5"/>
  <c r="V533" i="5"/>
  <c r="U71" i="5"/>
  <c r="V71" i="5"/>
  <c r="U64" i="5"/>
  <c r="V64" i="5"/>
  <c r="U30" i="5"/>
  <c r="V30" i="5"/>
  <c r="AJ93" i="5"/>
  <c r="AJ49" i="5"/>
  <c r="AL49" i="5" s="1"/>
  <c r="AJ105" i="5"/>
  <c r="AK105" i="5" s="1"/>
  <c r="AJ75" i="5"/>
  <c r="AL75" i="5" s="1"/>
  <c r="AJ188" i="5"/>
  <c r="AK188" i="5" s="1"/>
  <c r="AJ146" i="5"/>
  <c r="AJ77" i="5"/>
  <c r="AK77" i="5" s="1"/>
  <c r="AJ169" i="5"/>
  <c r="AK169" i="5" s="1"/>
  <c r="AJ195" i="5"/>
  <c r="AL195" i="5" s="1"/>
  <c r="AJ156" i="5"/>
  <c r="AL156" i="5" s="1"/>
  <c r="AJ87" i="5"/>
  <c r="AK87" i="5" s="1"/>
  <c r="AJ24" i="5"/>
  <c r="AL24" i="5" s="1"/>
  <c r="AJ44" i="5"/>
  <c r="AK44" i="5" s="1"/>
  <c r="BA20" i="5"/>
  <c r="BB20" i="5"/>
  <c r="U503" i="5"/>
  <c r="V503" i="5"/>
  <c r="U507" i="5"/>
  <c r="V507" i="5"/>
  <c r="V388" i="5"/>
  <c r="U388" i="5"/>
  <c r="U111" i="5"/>
  <c r="U65" i="5"/>
  <c r="V65" i="5"/>
  <c r="V58" i="5"/>
  <c r="U284" i="5"/>
  <c r="U194" i="5"/>
  <c r="V194" i="5"/>
  <c r="U456" i="5"/>
  <c r="AJ28" i="5"/>
  <c r="AL28" i="5" s="1"/>
  <c r="AJ158" i="5"/>
  <c r="AL158" i="5" s="1"/>
  <c r="AJ27" i="5"/>
  <c r="AK27" i="5" s="1"/>
  <c r="AJ164" i="5"/>
  <c r="AL164" i="5" s="1"/>
  <c r="AJ40" i="5"/>
  <c r="AL40" i="5" s="1"/>
  <c r="AJ174" i="5"/>
  <c r="AL174" i="5" s="1"/>
  <c r="AJ125" i="5"/>
  <c r="AK125" i="5" s="1"/>
  <c r="AJ61" i="5"/>
  <c r="AJ153" i="5"/>
  <c r="AK153" i="5" s="1"/>
  <c r="AJ184" i="5"/>
  <c r="AK184" i="5" s="1"/>
  <c r="AJ143" i="5"/>
  <c r="AL143" i="5" s="1"/>
  <c r="AJ71" i="5"/>
  <c r="AJ165" i="5"/>
  <c r="AK165" i="5" s="1"/>
  <c r="AJ138" i="5"/>
  <c r="AK138" i="5" s="1"/>
  <c r="BA255" i="5"/>
  <c r="BA290" i="5"/>
  <c r="BB290" i="5"/>
  <c r="BB59" i="5"/>
  <c r="BA59" i="5"/>
  <c r="BA164" i="5"/>
  <c r="BB164" i="5"/>
  <c r="U93" i="5"/>
  <c r="V427" i="5"/>
  <c r="U427" i="5"/>
  <c r="U198" i="5"/>
  <c r="V198" i="5"/>
  <c r="V23" i="5"/>
  <c r="V165" i="5"/>
  <c r="U19" i="5"/>
  <c r="V19" i="5"/>
  <c r="U516" i="5"/>
  <c r="V516" i="5"/>
  <c r="V361" i="5"/>
  <c r="U188" i="5"/>
  <c r="U117" i="5"/>
  <c r="V117" i="5"/>
  <c r="U105" i="5"/>
  <c r="V105" i="5"/>
  <c r="AJ33" i="5"/>
  <c r="AJ141" i="5"/>
  <c r="AJ29" i="5"/>
  <c r="AJ64" i="5"/>
  <c r="AJ97" i="5"/>
  <c r="AJ129" i="5"/>
  <c r="AJ160" i="5"/>
  <c r="AJ176" i="5"/>
  <c r="AJ62" i="5"/>
  <c r="AJ185" i="5"/>
  <c r="AJ203" i="5"/>
  <c r="AJ219" i="5"/>
  <c r="AJ233" i="5"/>
  <c r="AJ255" i="5"/>
  <c r="AJ270" i="5"/>
  <c r="AJ286" i="5"/>
  <c r="AJ302" i="5"/>
  <c r="AJ319" i="5"/>
  <c r="AJ55" i="5"/>
  <c r="AJ107" i="5"/>
  <c r="AJ139" i="5"/>
  <c r="AJ186" i="5"/>
  <c r="AJ202" i="5"/>
  <c r="AJ218" i="5"/>
  <c r="AJ235" i="5"/>
  <c r="AJ20" i="5"/>
  <c r="AJ67" i="5"/>
  <c r="AJ193" i="5"/>
  <c r="AJ212" i="5"/>
  <c r="AJ231" i="5"/>
  <c r="AJ244" i="5"/>
  <c r="AJ252" i="5"/>
  <c r="AJ260" i="5"/>
  <c r="AJ276" i="5"/>
  <c r="AJ292" i="5"/>
  <c r="AJ308" i="5"/>
  <c r="AJ324" i="5"/>
  <c r="AJ194" i="5"/>
  <c r="AJ264" i="5"/>
  <c r="AJ296" i="5"/>
  <c r="AJ321" i="5"/>
  <c r="AJ339" i="5"/>
  <c r="AJ355" i="5"/>
  <c r="AJ371" i="5"/>
  <c r="AJ383" i="5"/>
  <c r="AJ396" i="5"/>
  <c r="AJ462" i="5"/>
  <c r="AJ478" i="5"/>
  <c r="AJ494" i="5"/>
  <c r="AJ509" i="5"/>
  <c r="AJ519" i="5"/>
  <c r="AJ529" i="5"/>
  <c r="AJ543" i="5"/>
  <c r="AJ559" i="5"/>
  <c r="AJ127" i="5"/>
  <c r="AJ221" i="5"/>
  <c r="AJ269" i="5"/>
  <c r="AJ301" i="5"/>
  <c r="AJ318" i="5"/>
  <c r="AJ333" i="5"/>
  <c r="AJ349" i="5"/>
  <c r="AJ365" i="5"/>
  <c r="AJ385" i="5"/>
  <c r="AJ401" i="5"/>
  <c r="AJ417" i="5"/>
  <c r="AJ433" i="5"/>
  <c r="AJ253" i="5"/>
  <c r="AJ271" i="5"/>
  <c r="AJ303" i="5"/>
  <c r="AJ389" i="5"/>
  <c r="AJ403" i="5"/>
  <c r="AJ419" i="5"/>
  <c r="AJ435" i="5"/>
  <c r="AJ451" i="5"/>
  <c r="AJ467" i="5"/>
  <c r="AJ483" i="5"/>
  <c r="AJ499" i="5"/>
  <c r="AJ514" i="5"/>
  <c r="AJ530" i="5"/>
  <c r="AJ540" i="5"/>
  <c r="AJ548" i="5"/>
  <c r="AJ209" i="5"/>
  <c r="AJ344" i="5"/>
  <c r="AJ376" i="5"/>
  <c r="AJ59" i="5"/>
  <c r="AJ157" i="5"/>
  <c r="AJ34" i="5"/>
  <c r="AJ66" i="5"/>
  <c r="AJ101" i="5"/>
  <c r="AJ133" i="5"/>
  <c r="AJ162" i="5"/>
  <c r="AJ180" i="5"/>
  <c r="AJ89" i="5"/>
  <c r="AJ189" i="5"/>
  <c r="AJ207" i="5"/>
  <c r="AJ223" i="5"/>
  <c r="AJ239" i="5"/>
  <c r="AJ259" i="5"/>
  <c r="AJ275" i="5"/>
  <c r="AJ291" i="5"/>
  <c r="AJ307" i="5"/>
  <c r="AJ326" i="5"/>
  <c r="AJ73" i="5"/>
  <c r="AJ115" i="5"/>
  <c r="AJ148" i="5"/>
  <c r="AJ190" i="5"/>
  <c r="AJ206" i="5"/>
  <c r="AJ222" i="5"/>
  <c r="AJ238" i="5"/>
  <c r="AJ30" i="5"/>
  <c r="AJ76" i="5"/>
  <c r="AJ200" i="5"/>
  <c r="AJ216" i="5"/>
  <c r="AJ234" i="5"/>
  <c r="AJ246" i="5"/>
  <c r="AJ254" i="5"/>
  <c r="AJ262" i="5"/>
  <c r="AJ278" i="5"/>
  <c r="AJ294" i="5"/>
  <c r="AJ312" i="5"/>
  <c r="AJ119" i="5"/>
  <c r="AJ227" i="5"/>
  <c r="AJ277" i="5"/>
  <c r="AJ309" i="5"/>
  <c r="AJ325" i="5"/>
  <c r="AJ343" i="5"/>
  <c r="AJ359" i="5"/>
  <c r="AJ375" i="5"/>
  <c r="AJ388" i="5"/>
  <c r="AJ398" i="5"/>
  <c r="AJ464" i="5"/>
  <c r="AJ480" i="5"/>
  <c r="AJ496" i="5"/>
  <c r="AJ511" i="5"/>
  <c r="AJ523" i="5"/>
  <c r="AJ533" i="5"/>
  <c r="AJ547" i="5"/>
  <c r="AJ23" i="5"/>
  <c r="AJ196" i="5"/>
  <c r="AJ230" i="5"/>
  <c r="AJ274" i="5"/>
  <c r="AJ306" i="5"/>
  <c r="B76" i="5"/>
  <c r="AJ91" i="5"/>
  <c r="AJ173" i="5"/>
  <c r="AJ50" i="5"/>
  <c r="AJ82" i="5"/>
  <c r="AJ117" i="5"/>
  <c r="AJ154" i="5"/>
  <c r="AJ170" i="5"/>
  <c r="AJ52" i="5"/>
  <c r="AJ181" i="5"/>
  <c r="AJ199" i="5"/>
  <c r="AJ215" i="5"/>
  <c r="AJ228" i="5"/>
  <c r="AJ251" i="5"/>
  <c r="AJ268" i="5"/>
  <c r="AJ284" i="5"/>
  <c r="AJ300" i="5"/>
  <c r="AJ315" i="5"/>
  <c r="AJ46" i="5"/>
  <c r="AJ99" i="5"/>
  <c r="AJ131" i="5"/>
  <c r="AJ182" i="5"/>
  <c r="AJ198" i="5"/>
  <c r="AJ214" i="5"/>
  <c r="AJ229" i="5"/>
  <c r="AJ242" i="5"/>
  <c r="AJ57" i="5"/>
  <c r="AJ178" i="5"/>
  <c r="AJ208" i="5"/>
  <c r="AJ225" i="5"/>
  <c r="AJ241" i="5"/>
  <c r="AJ250" i="5"/>
  <c r="AJ258" i="5"/>
  <c r="AJ273" i="5"/>
  <c r="AJ289" i="5"/>
  <c r="AJ305" i="5"/>
  <c r="AJ320" i="5"/>
  <c r="AJ179" i="5"/>
  <c r="AJ247" i="5"/>
  <c r="AJ287" i="5"/>
  <c r="AJ317" i="5"/>
  <c r="AJ335" i="5"/>
  <c r="AJ351" i="5"/>
  <c r="AJ367" i="5"/>
  <c r="AJ379" i="5"/>
  <c r="AJ394" i="5"/>
  <c r="AJ459" i="5"/>
  <c r="AJ475" i="5"/>
  <c r="AJ491" i="5"/>
  <c r="AJ507" i="5"/>
  <c r="AJ517" i="5"/>
  <c r="AJ527" i="5"/>
  <c r="AJ539" i="5"/>
  <c r="AJ555" i="5"/>
  <c r="AJ95" i="5"/>
  <c r="AJ213" i="5"/>
  <c r="AJ249" i="5"/>
  <c r="AJ288" i="5"/>
  <c r="AJ314" i="5"/>
  <c r="AJ331" i="5"/>
  <c r="AJ345" i="5"/>
  <c r="AJ361" i="5"/>
  <c r="AJ381" i="5"/>
  <c r="AJ395" i="5"/>
  <c r="AJ413" i="5"/>
  <c r="AJ429" i="5"/>
  <c r="AJ232" i="5"/>
  <c r="AJ266" i="5"/>
  <c r="AJ298" i="5"/>
  <c r="AJ378" i="5"/>
  <c r="AJ399" i="5"/>
  <c r="AJ415" i="5"/>
  <c r="AJ431" i="5"/>
  <c r="AJ447" i="5"/>
  <c r="AJ461" i="5"/>
  <c r="AJ477" i="5"/>
  <c r="AJ493" i="5"/>
  <c r="AJ508" i="5"/>
  <c r="AJ524" i="5"/>
  <c r="AJ538" i="5"/>
  <c r="AJ546" i="5"/>
  <c r="AJ144" i="5"/>
  <c r="AJ336" i="5"/>
  <c r="AJ368" i="5"/>
  <c r="AJ408" i="5"/>
  <c r="AJ161" i="5"/>
  <c r="AJ150" i="5"/>
  <c r="AJ197" i="5"/>
  <c r="AJ265" i="5"/>
  <c r="AJ36" i="5"/>
  <c r="AJ192" i="5"/>
  <c r="AJ39" i="5"/>
  <c r="AJ236" i="5"/>
  <c r="AJ283" i="5"/>
  <c r="AJ237" i="5"/>
  <c r="AJ347" i="5"/>
  <c r="AJ453" i="5"/>
  <c r="AJ513" i="5"/>
  <c r="AJ60" i="5"/>
  <c r="AJ310" i="5"/>
  <c r="AJ341" i="5"/>
  <c r="AJ373" i="5"/>
  <c r="AJ409" i="5"/>
  <c r="AJ135" i="5"/>
  <c r="AJ293" i="5"/>
  <c r="AJ393" i="5"/>
  <c r="AJ427" i="5"/>
  <c r="AJ456" i="5"/>
  <c r="AJ488" i="5"/>
  <c r="AJ520" i="5"/>
  <c r="AJ544" i="5"/>
  <c r="AJ327" i="5"/>
  <c r="AJ400" i="5"/>
  <c r="AJ437" i="5"/>
  <c r="AJ458" i="5"/>
  <c r="AJ490" i="5"/>
  <c r="AJ560" i="5"/>
  <c r="AJ500" i="5"/>
  <c r="AJ541" i="5"/>
  <c r="AJ406" i="5"/>
  <c r="AJ466" i="5"/>
  <c r="AJ263" i="5"/>
  <c r="AJ354" i="5"/>
  <c r="AJ402" i="5"/>
  <c r="AJ434" i="5"/>
  <c r="AJ450" i="5"/>
  <c r="AJ528" i="5"/>
  <c r="AJ436" i="5"/>
  <c r="AJ78" i="5"/>
  <c r="AJ348" i="5"/>
  <c r="AJ380" i="5"/>
  <c r="AJ428" i="5"/>
  <c r="AJ474" i="5"/>
  <c r="AJ506" i="5"/>
  <c r="AJ526" i="5"/>
  <c r="AJ111" i="5"/>
  <c r="AJ334" i="5"/>
  <c r="AJ366" i="5"/>
  <c r="AJ444" i="5"/>
  <c r="AJ554" i="5"/>
  <c r="AJ175" i="5"/>
  <c r="AJ136" i="5"/>
  <c r="AJ31" i="5"/>
  <c r="AJ86" i="5"/>
  <c r="AJ22" i="5"/>
  <c r="AJ132" i="5"/>
  <c r="AJ124" i="5"/>
  <c r="AJ85" i="5"/>
  <c r="AJ163" i="5"/>
  <c r="AJ130" i="5"/>
  <c r="AJ191" i="5"/>
  <c r="AJ110" i="5"/>
  <c r="AJ42" i="5"/>
  <c r="AJ100" i="5"/>
  <c r="AJ79" i="5"/>
  <c r="AJ32" i="5"/>
  <c r="AJ53" i="5"/>
  <c r="AJ45" i="5"/>
  <c r="AJ168" i="5"/>
  <c r="AJ211" i="5"/>
  <c r="AJ281" i="5"/>
  <c r="AJ83" i="5"/>
  <c r="AJ210" i="5"/>
  <c r="AJ142" i="5"/>
  <c r="AJ248" i="5"/>
  <c r="AJ299" i="5"/>
  <c r="AJ282" i="5"/>
  <c r="AJ363" i="5"/>
  <c r="AJ469" i="5"/>
  <c r="AJ525" i="5"/>
  <c r="AJ205" i="5"/>
  <c r="AJ322" i="5"/>
  <c r="AJ353" i="5"/>
  <c r="AJ387" i="5"/>
  <c r="AJ421" i="5"/>
  <c r="AJ257" i="5"/>
  <c r="AJ323" i="5"/>
  <c r="AJ407" i="5"/>
  <c r="AJ439" i="5"/>
  <c r="AJ470" i="5"/>
  <c r="AJ502" i="5"/>
  <c r="AJ532" i="5"/>
  <c r="AJ550" i="5"/>
  <c r="AJ352" i="5"/>
  <c r="AJ416" i="5"/>
  <c r="AJ441" i="5"/>
  <c r="AJ471" i="5"/>
  <c r="AJ503" i="5"/>
  <c r="AJ463" i="5"/>
  <c r="AJ512" i="5"/>
  <c r="AJ549" i="5"/>
  <c r="AJ422" i="5"/>
  <c r="AJ479" i="5"/>
  <c r="AJ329" i="5"/>
  <c r="AJ362" i="5"/>
  <c r="AJ410" i="5"/>
  <c r="AJ438" i="5"/>
  <c r="AJ468" i="5"/>
  <c r="AJ545" i="5"/>
  <c r="AJ452" i="5"/>
  <c r="AJ285" i="5"/>
  <c r="AJ356" i="5"/>
  <c r="AJ404" i="5"/>
  <c r="AJ455" i="5"/>
  <c r="AJ487" i="5"/>
  <c r="AJ510" i="5"/>
  <c r="AJ534" i="5"/>
  <c r="AJ201" i="5"/>
  <c r="AJ342" i="5"/>
  <c r="AJ397" i="5"/>
  <c r="AJ457" i="5"/>
  <c r="AJ120" i="5"/>
  <c r="AJ81" i="5"/>
  <c r="AJ187" i="5"/>
  <c r="AJ70" i="5"/>
  <c r="AJ159" i="5"/>
  <c r="AJ116" i="5"/>
  <c r="AJ104" i="5"/>
  <c r="AJ106" i="5"/>
  <c r="AJ171" i="5"/>
  <c r="AJ134" i="5"/>
  <c r="AJ98" i="5"/>
  <c r="AJ80" i="5"/>
  <c r="AJ25" i="5"/>
  <c r="AJ226" i="5"/>
  <c r="AJ297" i="5"/>
  <c r="AJ123" i="5"/>
  <c r="AJ224" i="5"/>
  <c r="AJ204" i="5"/>
  <c r="AJ256" i="5"/>
  <c r="AJ316" i="5"/>
  <c r="AJ313" i="5"/>
  <c r="AJ377" i="5"/>
  <c r="AJ485" i="5"/>
  <c r="AJ535" i="5"/>
  <c r="AJ245" i="5"/>
  <c r="AJ328" i="5"/>
  <c r="AJ357" i="5"/>
  <c r="AJ392" i="5"/>
  <c r="AJ425" i="5"/>
  <c r="AJ261" i="5"/>
  <c r="AJ332" i="5"/>
  <c r="AJ411" i="5"/>
  <c r="AJ443" i="5"/>
  <c r="AJ472" i="5"/>
  <c r="AJ504" i="5"/>
  <c r="AJ536" i="5"/>
  <c r="AJ552" i="5"/>
  <c r="AJ360" i="5"/>
  <c r="AJ424" i="5"/>
  <c r="AJ445" i="5"/>
  <c r="AJ476" i="5"/>
  <c r="AJ515" i="5"/>
  <c r="AJ473" i="5"/>
  <c r="AJ521" i="5"/>
  <c r="AJ553" i="5"/>
  <c r="AJ440" i="5"/>
  <c r="AJ41" i="5"/>
  <c r="AJ338" i="5"/>
  <c r="AJ370" i="5"/>
  <c r="AJ418" i="5"/>
  <c r="AJ442" i="5"/>
  <c r="AJ482" i="5"/>
  <c r="AJ558" i="5"/>
  <c r="AJ489" i="5"/>
  <c r="AJ304" i="5"/>
  <c r="AJ364" i="5"/>
  <c r="AJ412" i="5"/>
  <c r="AJ460" i="5"/>
  <c r="AJ492" i="5"/>
  <c r="AJ518" i="5"/>
  <c r="AJ556" i="5"/>
  <c r="AJ272" i="5"/>
  <c r="AJ350" i="5"/>
  <c r="AJ414" i="5"/>
  <c r="AJ484" i="5"/>
  <c r="AJ65" i="5"/>
  <c r="AJ128" i="5"/>
  <c r="AJ54" i="5"/>
  <c r="AJ112" i="5"/>
  <c r="AJ149" i="5"/>
  <c r="AJ108" i="5"/>
  <c r="AJ8" i="5"/>
  <c r="AJ140" i="5"/>
  <c r="AJ122" i="5"/>
  <c r="AJ90" i="5"/>
  <c r="AJ126" i="5"/>
  <c r="AJ102" i="5"/>
  <c r="AJ74" i="5"/>
  <c r="AJ51" i="5"/>
  <c r="AJ35" i="5"/>
  <c r="AJ92" i="5"/>
  <c r="AJ26" i="5"/>
  <c r="AJ72" i="5"/>
  <c r="AJ113" i="5"/>
  <c r="AJ177" i="5"/>
  <c r="AJ152" i="5"/>
  <c r="AJ551" i="5"/>
  <c r="AJ405" i="5"/>
  <c r="AJ423" i="5"/>
  <c r="AJ542" i="5"/>
  <c r="AJ449" i="5"/>
  <c r="AJ537" i="5"/>
  <c r="AJ346" i="5"/>
  <c r="AJ505" i="5"/>
  <c r="AJ372" i="5"/>
  <c r="AJ522" i="5"/>
  <c r="AJ430" i="5"/>
  <c r="AJ151" i="5"/>
  <c r="AJ167" i="5"/>
  <c r="AJ118" i="5"/>
  <c r="AJ37" i="5"/>
  <c r="AJ137" i="5"/>
  <c r="AJ240" i="5"/>
  <c r="AJ330" i="5"/>
  <c r="AJ279" i="5"/>
  <c r="AJ103" i="5"/>
  <c r="AJ454" i="5"/>
  <c r="AJ295" i="5"/>
  <c r="AJ481" i="5"/>
  <c r="AJ374" i="5"/>
  <c r="AJ386" i="5"/>
  <c r="AJ382" i="5"/>
  <c r="AJ420" i="5"/>
  <c r="AJ19" i="5"/>
  <c r="AJ498" i="5"/>
  <c r="AJ47" i="5"/>
  <c r="AJ114" i="5"/>
  <c r="AJ69" i="5"/>
  <c r="AJ58" i="5"/>
  <c r="AJ96" i="5"/>
  <c r="AJ21" i="5"/>
  <c r="AJ243" i="5"/>
  <c r="AJ220" i="5"/>
  <c r="AJ390" i="5"/>
  <c r="AJ337" i="5"/>
  <c r="AJ280" i="5"/>
  <c r="AJ486" i="5"/>
  <c r="AJ384" i="5"/>
  <c r="AJ531" i="5"/>
  <c r="AJ448" i="5"/>
  <c r="AJ426" i="5"/>
  <c r="AJ557" i="5"/>
  <c r="AJ465" i="5"/>
  <c r="AJ290" i="5"/>
  <c r="AJ145" i="5"/>
  <c r="AJ94" i="5"/>
  <c r="AJ63" i="5"/>
  <c r="AJ88" i="5"/>
  <c r="AJ311" i="5"/>
  <c r="AJ391" i="5"/>
  <c r="AJ217" i="5"/>
  <c r="AJ358" i="5"/>
  <c r="AJ183" i="5"/>
  <c r="AJ48" i="5"/>
  <c r="AJ267" i="5"/>
  <c r="AJ516" i="5"/>
  <c r="AJ446" i="5"/>
  <c r="AJ155" i="5"/>
  <c r="AJ501" i="5"/>
  <c r="AJ432" i="5"/>
  <c r="AJ340" i="5"/>
  <c r="AJ369" i="5"/>
  <c r="AJ495" i="5"/>
  <c r="AJ38" i="5"/>
  <c r="AJ497" i="5"/>
  <c r="AJ68" i="5"/>
  <c r="B25" i="2"/>
  <c r="H17" i="1"/>
  <c r="AK56" i="5"/>
  <c r="AL56" i="5"/>
  <c r="U106" i="5" l="1"/>
  <c r="U95" i="5"/>
  <c r="AU43" i="5"/>
  <c r="U269" i="5"/>
  <c r="BA91" i="5"/>
  <c r="AU66" i="5"/>
  <c r="BB116" i="5"/>
  <c r="BB278" i="5"/>
  <c r="BA140" i="5"/>
  <c r="BB318" i="5"/>
  <c r="AY7" i="5"/>
  <c r="BA139" i="5"/>
  <c r="BB196" i="5"/>
  <c r="U157" i="5"/>
  <c r="V369" i="5"/>
  <c r="U370" i="5"/>
  <c r="V351" i="5"/>
  <c r="V74" i="5"/>
  <c r="V132" i="5"/>
  <c r="V258" i="5"/>
  <c r="V252" i="5"/>
  <c r="U37" i="5"/>
  <c r="V75" i="5"/>
  <c r="U347" i="5"/>
  <c r="V470" i="5"/>
  <c r="V358" i="5"/>
  <c r="U186" i="5"/>
  <c r="U494" i="5"/>
  <c r="U133" i="5"/>
  <c r="U534" i="5"/>
  <c r="U295" i="5"/>
  <c r="U437" i="5"/>
  <c r="U228" i="5"/>
  <c r="U319" i="5"/>
  <c r="U551" i="5"/>
  <c r="U447" i="5"/>
  <c r="V493" i="5"/>
  <c r="V197" i="5"/>
  <c r="U289" i="5"/>
  <c r="U160" i="5"/>
  <c r="V497" i="5"/>
  <c r="V454" i="5"/>
  <c r="U153" i="5"/>
  <c r="U367" i="5"/>
  <c r="V510" i="5"/>
  <c r="V371" i="5"/>
  <c r="U34" i="5"/>
  <c r="U185" i="5"/>
  <c r="V97" i="5"/>
  <c r="U237" i="5"/>
  <c r="U115" i="5"/>
  <c r="V376" i="5"/>
  <c r="U241" i="5"/>
  <c r="U167" i="5"/>
  <c r="V229" i="5"/>
  <c r="U340" i="5"/>
  <c r="V336" i="5"/>
  <c r="U144" i="5"/>
  <c r="U113" i="5"/>
  <c r="V226" i="5"/>
  <c r="V293" i="5"/>
  <c r="V529" i="5"/>
  <c r="U257" i="5"/>
  <c r="V531" i="5"/>
  <c r="U332" i="5"/>
  <c r="V107" i="5"/>
  <c r="V166" i="5"/>
  <c r="U364" i="5"/>
  <c r="V211" i="5"/>
  <c r="U259" i="5"/>
  <c r="U272" i="5"/>
  <c r="U33" i="5"/>
  <c r="U305" i="5"/>
  <c r="U251" i="5"/>
  <c r="V76" i="5"/>
  <c r="U558" i="5"/>
  <c r="V80" i="5"/>
  <c r="U337" i="5"/>
  <c r="V372" i="5"/>
  <c r="U496" i="5"/>
  <c r="U261" i="5"/>
  <c r="U29" i="5"/>
  <c r="U408" i="5"/>
  <c r="U389" i="5"/>
  <c r="V392" i="5"/>
  <c r="V411" i="5"/>
  <c r="V281" i="5"/>
  <c r="U341" i="5"/>
  <c r="U302" i="5"/>
  <c r="V47" i="5"/>
  <c r="U501" i="5"/>
  <c r="U304" i="5"/>
  <c r="V357" i="5"/>
  <c r="V138" i="5"/>
  <c r="V231" i="5"/>
  <c r="U55" i="5"/>
  <c r="U143" i="5"/>
  <c r="V479" i="5"/>
  <c r="U345" i="5"/>
  <c r="U546" i="5"/>
  <c r="V350" i="5"/>
  <c r="V438" i="5"/>
  <c r="U196" i="5"/>
  <c r="V436" i="5"/>
  <c r="U161" i="5"/>
  <c r="V280" i="5"/>
  <c r="U443" i="5"/>
  <c r="U287" i="5"/>
  <c r="V425" i="5"/>
  <c r="V45" i="5"/>
  <c r="U467" i="5"/>
  <c r="V307" i="5"/>
  <c r="U169" i="5"/>
  <c r="U212" i="5"/>
  <c r="U469" i="5"/>
  <c r="U164" i="5"/>
  <c r="V530" i="5"/>
  <c r="U219" i="5"/>
  <c r="V368" i="5"/>
  <c r="U550" i="5"/>
  <c r="U283" i="5"/>
  <c r="V243" i="5"/>
  <c r="V423" i="5"/>
  <c r="U316" i="5"/>
  <c r="U158" i="5"/>
  <c r="U334" i="5"/>
  <c r="U232" i="5"/>
  <c r="U154" i="5"/>
  <c r="V325" i="5"/>
  <c r="U265" i="5"/>
  <c r="U326" i="5"/>
  <c r="U489" i="5"/>
  <c r="V342" i="5"/>
  <c r="AL166" i="5"/>
  <c r="U403" i="5"/>
  <c r="U506" i="5"/>
  <c r="V39" i="5"/>
  <c r="V311" i="5"/>
  <c r="V541" i="5"/>
  <c r="U206" i="5"/>
  <c r="V142" i="5"/>
  <c r="V521" i="5"/>
  <c r="U87" i="5"/>
  <c r="V205" i="5"/>
  <c r="U156" i="5"/>
  <c r="V286" i="5"/>
  <c r="V191" i="5"/>
  <c r="U547" i="5"/>
  <c r="V217" i="5"/>
  <c r="U124" i="5"/>
  <c r="V461" i="5"/>
  <c r="V401" i="5"/>
  <c r="U379" i="5"/>
  <c r="V72" i="5"/>
  <c r="V429" i="5"/>
  <c r="V99" i="5"/>
  <c r="U163" i="5"/>
  <c r="V502" i="5"/>
  <c r="V329" i="5"/>
  <c r="V193" i="5"/>
  <c r="U268" i="5"/>
  <c r="U390" i="5"/>
  <c r="V544" i="5"/>
  <c r="U416" i="5"/>
  <c r="V220" i="5"/>
  <c r="U354" i="5"/>
  <c r="U96" i="5"/>
  <c r="U440" i="5"/>
  <c r="V67" i="5"/>
  <c r="V255" i="5"/>
  <c r="U313" i="5"/>
  <c r="U53" i="5"/>
  <c r="U519" i="5"/>
  <c r="V412" i="5"/>
  <c r="U463" i="5"/>
  <c r="U500" i="5"/>
  <c r="U129" i="5"/>
  <c r="V556" i="5"/>
  <c r="U321" i="5"/>
  <c r="V177" i="5"/>
  <c r="U419" i="5"/>
  <c r="U553" i="5"/>
  <c r="V449" i="5"/>
  <c r="U532" i="5"/>
  <c r="V536" i="5"/>
  <c r="U487" i="5"/>
  <c r="U410" i="5"/>
  <c r="U323" i="5"/>
  <c r="U415" i="5"/>
  <c r="V224" i="5"/>
  <c r="V380" i="5"/>
  <c r="U355" i="5"/>
  <c r="U227" i="5"/>
  <c r="V81" i="5"/>
  <c r="V557" i="5"/>
  <c r="V360" i="5"/>
  <c r="U318" i="5"/>
  <c r="U85" i="5"/>
  <c r="V559" i="5"/>
  <c r="V264" i="5"/>
  <c r="U486" i="5"/>
  <c r="V172" i="5"/>
  <c r="V526" i="5"/>
  <c r="U102" i="5"/>
  <c r="V119" i="5"/>
  <c r="V254" i="5"/>
  <c r="U352" i="5"/>
  <c r="V299" i="5"/>
  <c r="U101" i="5"/>
  <c r="V384" i="5"/>
  <c r="U20" i="5"/>
  <c r="V46" i="5"/>
  <c r="U552" i="5"/>
  <c r="V222" i="5"/>
  <c r="V439" i="5"/>
  <c r="V282" i="5"/>
  <c r="AL147" i="5"/>
  <c r="V290" i="5"/>
  <c r="V216" i="5"/>
  <c r="U179" i="5"/>
  <c r="AK84" i="5"/>
  <c r="U499" i="5"/>
  <c r="V126" i="5"/>
  <c r="V508" i="5"/>
  <c r="V203" i="5"/>
  <c r="AL125" i="5"/>
  <c r="V245" i="5"/>
  <c r="U391" i="5"/>
  <c r="V271" i="5"/>
  <c r="V213" i="5"/>
  <c r="U310" i="5"/>
  <c r="V48" i="5"/>
  <c r="V244" i="5"/>
  <c r="V478" i="5"/>
  <c r="V366" i="5"/>
  <c r="V41" i="5"/>
  <c r="V173" i="5"/>
  <c r="V446" i="5"/>
  <c r="U63" i="5"/>
  <c r="AV100" i="5"/>
  <c r="AV23" i="5"/>
  <c r="U435" i="5"/>
  <c r="V472" i="5"/>
  <c r="U253" i="5"/>
  <c r="V61" i="5"/>
  <c r="V406" i="5"/>
  <c r="V150" i="5"/>
  <c r="V62" i="5"/>
  <c r="U373" i="5"/>
  <c r="V140" i="5"/>
  <c r="V223" i="5"/>
  <c r="U441" i="5"/>
  <c r="V279" i="5"/>
  <c r="U482" i="5"/>
  <c r="U483" i="5"/>
  <c r="V209" i="5"/>
  <c r="V375" i="5"/>
  <c r="V426" i="5"/>
  <c r="U147" i="5"/>
  <c r="U112" i="5"/>
  <c r="V103" i="5"/>
  <c r="V431" i="5"/>
  <c r="V395" i="5"/>
  <c r="V484" i="5"/>
  <c r="U378" i="5"/>
  <c r="U233" i="5"/>
  <c r="V100" i="5"/>
  <c r="U445" i="5"/>
  <c r="V346" i="5"/>
  <c r="V70" i="5"/>
  <c r="U148" i="5"/>
  <c r="U8" i="5"/>
  <c r="V387" i="5"/>
  <c r="V262" i="5"/>
  <c r="AK195" i="5"/>
  <c r="BA194" i="5"/>
  <c r="BA300" i="5"/>
  <c r="AU71" i="5"/>
  <c r="BA121" i="5"/>
  <c r="BA171" i="5"/>
  <c r="BA246" i="5"/>
  <c r="BA163" i="5"/>
  <c r="BB127" i="5"/>
  <c r="BB48" i="5"/>
  <c r="BA191" i="5"/>
  <c r="AV79" i="5"/>
  <c r="BB393" i="5"/>
  <c r="BB74" i="5"/>
  <c r="BA211" i="5"/>
  <c r="BB84" i="5"/>
  <c r="BB200" i="5"/>
  <c r="BB141" i="5"/>
  <c r="BA352" i="5"/>
  <c r="BB115" i="5"/>
  <c r="U131" i="5"/>
  <c r="U422" i="5"/>
  <c r="U381" i="5"/>
  <c r="V474" i="5"/>
  <c r="U92" i="5"/>
  <c r="U405" i="5"/>
  <c r="V275" i="5"/>
  <c r="V171" i="5"/>
  <c r="U109" i="5"/>
  <c r="U314" i="5"/>
  <c r="U398" i="5"/>
  <c r="V201" i="5"/>
  <c r="U300" i="5"/>
  <c r="U457" i="5"/>
  <c r="V327" i="5"/>
  <c r="U94" i="5"/>
  <c r="V155" i="5"/>
  <c r="U266" i="5"/>
  <c r="V208" i="5"/>
  <c r="V545" i="5"/>
  <c r="V78" i="5"/>
  <c r="U356" i="5"/>
  <c r="U90" i="5"/>
  <c r="V267" i="5"/>
  <c r="V444" i="5"/>
  <c r="U477" i="5"/>
  <c r="V322" i="5"/>
  <c r="V42" i="5"/>
  <c r="U182" i="5"/>
  <c r="V249" i="5"/>
  <c r="V192" i="5"/>
  <c r="AK109" i="5"/>
  <c r="U407" i="5"/>
  <c r="V324" i="5"/>
  <c r="U199" i="5"/>
  <c r="U288" i="5"/>
  <c r="U377" i="5"/>
  <c r="U135" i="5"/>
  <c r="V170" i="5"/>
  <c r="U309" i="5"/>
  <c r="U448" i="5"/>
  <c r="U86" i="5"/>
  <c r="V114" i="5"/>
  <c r="V44" i="5"/>
  <c r="U152" i="5"/>
  <c r="U535" i="5"/>
  <c r="U549" i="5"/>
  <c r="V339" i="5"/>
  <c r="U498" i="5"/>
  <c r="V110" i="5"/>
  <c r="V543" i="5"/>
  <c r="AK75" i="5"/>
  <c r="U127" i="5"/>
  <c r="U215" i="5"/>
  <c r="U517" i="5"/>
  <c r="U59" i="5"/>
  <c r="U77" i="5"/>
  <c r="V26" i="5"/>
  <c r="V285" i="5"/>
  <c r="V277" i="5"/>
  <c r="AL188" i="5"/>
  <c r="U238" i="5"/>
  <c r="AU131" i="5"/>
  <c r="AU29" i="5"/>
  <c r="AU187" i="5"/>
  <c r="AU249" i="5"/>
  <c r="AV88" i="5"/>
  <c r="AU54" i="5"/>
  <c r="AV103" i="5"/>
  <c r="AV121" i="5"/>
  <c r="AU173" i="5"/>
  <c r="BB160" i="5"/>
  <c r="AV51" i="5"/>
  <c r="AU96" i="5"/>
  <c r="BB314" i="5"/>
  <c r="BB265" i="5"/>
  <c r="BA223" i="5"/>
  <c r="BA80" i="5"/>
  <c r="BB219" i="5"/>
  <c r="BB351" i="5"/>
  <c r="BB43" i="5"/>
  <c r="BB179" i="5"/>
  <c r="BB288" i="5"/>
  <c r="BB234" i="5"/>
  <c r="BB126" i="5"/>
  <c r="BA236" i="5"/>
  <c r="BA256" i="5"/>
  <c r="BB183" i="5"/>
  <c r="BA344" i="5"/>
  <c r="BA123" i="5"/>
  <c r="BA190" i="5"/>
  <c r="BB266" i="5"/>
  <c r="BA168" i="5"/>
  <c r="BA81" i="5"/>
  <c r="BB220" i="5"/>
  <c r="BB199" i="5"/>
  <c r="BB112" i="5"/>
  <c r="BB269" i="5"/>
  <c r="BA282" i="5"/>
  <c r="BB208" i="5"/>
  <c r="BB71" i="5"/>
  <c r="BB261" i="5"/>
  <c r="BB113" i="5"/>
  <c r="BB176" i="5"/>
  <c r="AU69" i="5"/>
  <c r="AU92" i="5"/>
  <c r="AV110" i="5"/>
  <c r="AU138" i="5"/>
  <c r="AU46" i="5"/>
  <c r="AV286" i="5"/>
  <c r="AV176" i="5"/>
  <c r="AU160" i="5"/>
  <c r="AV53" i="5"/>
  <c r="BB284" i="5"/>
  <c r="AV20" i="5"/>
  <c r="AU63" i="5"/>
  <c r="AU41" i="5"/>
  <c r="AV90" i="5"/>
  <c r="BA198" i="5"/>
  <c r="BB86" i="5"/>
  <c r="BA197" i="5"/>
  <c r="BB302" i="5"/>
  <c r="BB222" i="5"/>
  <c r="BB251" i="5"/>
  <c r="BA202" i="5"/>
  <c r="BA154" i="5"/>
  <c r="BA242" i="5"/>
  <c r="BA309" i="5"/>
  <c r="BB95" i="5"/>
  <c r="BB68" i="5"/>
  <c r="AK158" i="5"/>
  <c r="U270" i="5"/>
  <c r="V128" i="5"/>
  <c r="V540" i="5"/>
  <c r="U513" i="5"/>
  <c r="V298" i="5"/>
  <c r="U386" i="5"/>
  <c r="V383" i="5"/>
  <c r="V60" i="5"/>
  <c r="U428" i="5"/>
  <c r="U418" i="5"/>
  <c r="U292" i="5"/>
  <c r="V348" i="5"/>
  <c r="U432" i="5"/>
  <c r="U54" i="5"/>
  <c r="V404" i="5"/>
  <c r="V464" i="5"/>
  <c r="V328" i="5"/>
  <c r="U27" i="5"/>
  <c r="U73" i="5"/>
  <c r="U273" i="5"/>
  <c r="U204" i="5"/>
  <c r="V473" i="5"/>
  <c r="V168" i="5"/>
  <c r="V424" i="5"/>
  <c r="U344" i="5"/>
  <c r="U539" i="5"/>
  <c r="U116" i="5"/>
  <c r="U365" i="5"/>
  <c r="U250" i="5"/>
  <c r="V276" i="5"/>
  <c r="V393" i="5"/>
  <c r="U297" i="5"/>
  <c r="U453" i="5"/>
  <c r="V57" i="5"/>
  <c r="U139" i="5"/>
  <c r="U146" i="5"/>
  <c r="V146" i="5"/>
  <c r="U317" i="5"/>
  <c r="V104" i="5"/>
  <c r="AL169" i="5"/>
  <c r="U420" i="5"/>
  <c r="V184" i="5"/>
  <c r="V235" i="5"/>
  <c r="U21" i="5"/>
  <c r="V452" i="5"/>
  <c r="V221" i="5"/>
  <c r="U230" i="5"/>
  <c r="V481" i="5"/>
  <c r="U306" i="5"/>
  <c r="U69" i="5"/>
  <c r="V200" i="5"/>
  <c r="U476" i="5"/>
  <c r="V202" i="5"/>
  <c r="V433" i="5"/>
  <c r="V315" i="5"/>
  <c r="V28" i="5"/>
  <c r="V524" i="5"/>
  <c r="U413" i="5"/>
  <c r="U195" i="5"/>
  <c r="U523" i="5"/>
  <c r="V430" i="5"/>
  <c r="U362" i="5"/>
  <c r="V68" i="5"/>
  <c r="U141" i="5"/>
  <c r="V136" i="5"/>
  <c r="AV312" i="5"/>
  <c r="AU307" i="5"/>
  <c r="AU39" i="5"/>
  <c r="BB138" i="5"/>
  <c r="AU327" i="5"/>
  <c r="AV246" i="5"/>
  <c r="BB134" i="5"/>
  <c r="BB346" i="5"/>
  <c r="BA24" i="5"/>
  <c r="BB82" i="5"/>
  <c r="BB97" i="5"/>
  <c r="BB283" i="5"/>
  <c r="AU91" i="5"/>
  <c r="AU153" i="5"/>
  <c r="BA60" i="5"/>
  <c r="BA61" i="5"/>
  <c r="AV273" i="5"/>
  <c r="AV22" i="5"/>
  <c r="BA98" i="5"/>
  <c r="BA232" i="5"/>
  <c r="BB73" i="5"/>
  <c r="BB27" i="5"/>
  <c r="BB26" i="5"/>
  <c r="BA221" i="5"/>
  <c r="AU83" i="5"/>
  <c r="BB110" i="5"/>
  <c r="BA114" i="5"/>
  <c r="BB83" i="5"/>
  <c r="BA184" i="5"/>
  <c r="BA66" i="5"/>
  <c r="AU299" i="5"/>
  <c r="AU324" i="5"/>
  <c r="BB78" i="5"/>
  <c r="BA166" i="5"/>
  <c r="BA240" i="5"/>
  <c r="BA70" i="5"/>
  <c r="BA178" i="5"/>
  <c r="BB159" i="5"/>
  <c r="BA188" i="5"/>
  <c r="BB56" i="5"/>
  <c r="BA117" i="5"/>
  <c r="BB111" i="5"/>
  <c r="BB262" i="5"/>
  <c r="BA64" i="5"/>
  <c r="V520" i="5"/>
  <c r="U145" i="5"/>
  <c r="U180" i="5"/>
  <c r="AL138" i="5"/>
  <c r="V246" i="5"/>
  <c r="V123" i="5"/>
  <c r="U400" i="5"/>
  <c r="V490" i="5"/>
  <c r="U450" i="5"/>
  <c r="V49" i="5"/>
  <c r="AL87" i="5"/>
  <c r="U43" i="5"/>
  <c r="U149" i="5"/>
  <c r="V207" i="5"/>
  <c r="U187" i="5"/>
  <c r="U51" i="5"/>
  <c r="U175" i="5"/>
  <c r="U240" i="5"/>
  <c r="U434" i="5"/>
  <c r="V248" i="5"/>
  <c r="V121" i="5"/>
  <c r="V137" i="5"/>
  <c r="U560" i="5"/>
  <c r="V525" i="5"/>
  <c r="U178" i="5"/>
  <c r="U247" i="5"/>
  <c r="V555" i="5"/>
  <c r="U32" i="5"/>
  <c r="V421" i="5"/>
  <c r="U491" i="5"/>
  <c r="V488" i="5"/>
  <c r="U442" i="5"/>
  <c r="V210" i="5"/>
  <c r="U396" i="5"/>
  <c r="U256" i="5"/>
  <c r="V214" i="5"/>
  <c r="AK174" i="5"/>
  <c r="U159" i="5"/>
  <c r="U174" i="5"/>
  <c r="U343" i="5"/>
  <c r="U335" i="5"/>
  <c r="V399" i="5"/>
  <c r="V471" i="5"/>
  <c r="V363" i="5"/>
  <c r="V218" i="5"/>
  <c r="V468" i="5"/>
  <c r="V414" i="5"/>
  <c r="U522" i="5"/>
  <c r="U122" i="5"/>
  <c r="U374" i="5"/>
  <c r="V278" i="5"/>
  <c r="V333" i="5"/>
  <c r="V480" i="5"/>
  <c r="V190" i="5"/>
  <c r="V84" i="5"/>
  <c r="V385" i="5"/>
  <c r="U183" i="5"/>
  <c r="AL105" i="5"/>
  <c r="U125" i="5"/>
  <c r="V25" i="5"/>
  <c r="V460" i="5"/>
  <c r="U52" i="5"/>
  <c r="V353" i="5"/>
  <c r="V455" i="5"/>
  <c r="U66" i="5"/>
  <c r="V397" i="5"/>
  <c r="AL44" i="5"/>
  <c r="V35" i="5"/>
  <c r="V504" i="5"/>
  <c r="U7" i="5"/>
  <c r="U548" i="5"/>
  <c r="U458" i="5"/>
  <c r="V485" i="5"/>
  <c r="V260" i="5"/>
  <c r="U31" i="5"/>
  <c r="V330" i="5"/>
  <c r="V359" i="5"/>
  <c r="AL172" i="5"/>
  <c r="V409" i="5"/>
  <c r="V312" i="5"/>
  <c r="U331" i="5"/>
  <c r="V189" i="5"/>
  <c r="U225" i="5"/>
  <c r="V320" i="5"/>
  <c r="AK43" i="5"/>
  <c r="V162" i="5"/>
  <c r="AL77" i="5"/>
  <c r="V108" i="5"/>
  <c r="V134" i="5"/>
  <c r="U134" i="5"/>
  <c r="V492" i="5"/>
  <c r="U274" i="5"/>
  <c r="V527" i="5"/>
  <c r="V83" i="5"/>
  <c r="U234" i="5"/>
  <c r="U512" i="5"/>
  <c r="U239" i="5"/>
  <c r="V236" i="5"/>
  <c r="V505" i="5"/>
  <c r="V88" i="5"/>
  <c r="V294" i="5"/>
  <c r="U303" i="5"/>
  <c r="U296" i="5"/>
  <c r="V465" i="5"/>
  <c r="U38" i="5"/>
  <c r="V466" i="5"/>
  <c r="U542" i="5"/>
  <c r="V36" i="5"/>
  <c r="V22" i="5"/>
  <c r="U291" i="5"/>
  <c r="U79" i="5"/>
  <c r="U176" i="5"/>
  <c r="U151" i="5"/>
  <c r="V263" i="5"/>
  <c r="V528" i="5"/>
  <c r="AV311" i="5"/>
  <c r="AV198" i="5"/>
  <c r="BA173" i="5"/>
  <c r="BB247" i="5"/>
  <c r="BA107" i="5"/>
  <c r="BB324" i="5"/>
  <c r="BA22" i="5"/>
  <c r="BA119" i="5"/>
  <c r="BA125" i="5"/>
  <c r="AV210" i="5"/>
  <c r="AU24" i="5"/>
  <c r="BA35" i="5"/>
  <c r="BB161" i="5"/>
  <c r="BB135" i="5"/>
  <c r="BA148" i="5"/>
  <c r="BB137" i="5"/>
  <c r="BA50" i="5"/>
  <c r="BA296" i="5"/>
  <c r="BA249" i="5"/>
  <c r="AU87" i="5"/>
  <c r="AV62" i="5"/>
  <c r="AU64" i="5"/>
  <c r="AV55" i="5"/>
  <c r="AV118" i="5"/>
  <c r="AU65" i="5"/>
  <c r="AV141" i="5"/>
  <c r="AU42" i="5"/>
  <c r="AU8" i="5"/>
  <c r="AU189" i="5"/>
  <c r="BA285" i="5"/>
  <c r="BA94" i="5"/>
  <c r="AV250" i="5"/>
  <c r="BA206" i="5"/>
  <c r="BB175" i="5"/>
  <c r="BA373" i="5"/>
  <c r="BB303" i="5"/>
  <c r="BB323" i="5"/>
  <c r="BB218" i="5"/>
  <c r="BA180" i="5"/>
  <c r="BA274" i="5"/>
  <c r="U515" i="5"/>
  <c r="U98" i="5"/>
  <c r="U40" i="5"/>
  <c r="AL27" i="5"/>
  <c r="U301" i="5"/>
  <c r="AK121" i="5"/>
  <c r="V242" i="5"/>
  <c r="BA89" i="5"/>
  <c r="AU135" i="5"/>
  <c r="AV21" i="5"/>
  <c r="AV89" i="5"/>
  <c r="AV291" i="5"/>
  <c r="AV31" i="5"/>
  <c r="AV34" i="5"/>
  <c r="AU221" i="5"/>
  <c r="AU115" i="5"/>
  <c r="AU93" i="5"/>
  <c r="AU133" i="5"/>
  <c r="AV77" i="5"/>
  <c r="AV142" i="5"/>
  <c r="AU122" i="5"/>
  <c r="AU191" i="5"/>
  <c r="AV130" i="5"/>
  <c r="AV282" i="5"/>
  <c r="AU47" i="5"/>
  <c r="AU270" i="5"/>
  <c r="AU295" i="5"/>
  <c r="AV233" i="5"/>
  <c r="AU182" i="5"/>
  <c r="AV276" i="5"/>
  <c r="AU175" i="5"/>
  <c r="AV199" i="5"/>
  <c r="AU150" i="5"/>
  <c r="BB264" i="5"/>
  <c r="AU211" i="5"/>
  <c r="BB337" i="5"/>
  <c r="BB230" i="5"/>
  <c r="AU257" i="5"/>
  <c r="BB312" i="5"/>
  <c r="BA130" i="5"/>
  <c r="AV181" i="5"/>
  <c r="BA44" i="5"/>
  <c r="BB55" i="5"/>
  <c r="BB131" i="5"/>
  <c r="BA144" i="5"/>
  <c r="BB108" i="5"/>
  <c r="BB136" i="5"/>
  <c r="BB150" i="5"/>
  <c r="BB326" i="5"/>
  <c r="BB158" i="5"/>
  <c r="BA156" i="5"/>
  <c r="AT12" i="5"/>
  <c r="AV12" i="5" s="1"/>
  <c r="BB332" i="5"/>
  <c r="AW12" i="5"/>
  <c r="AX12" i="5" s="1"/>
  <c r="BB369" i="5"/>
  <c r="BB118" i="5"/>
  <c r="T12" i="5"/>
  <c r="U12" i="5" s="1"/>
  <c r="AJ12" i="5"/>
  <c r="AK12" i="5" s="1"/>
  <c r="BA7" i="5"/>
  <c r="U518" i="5"/>
  <c r="V511" i="5"/>
  <c r="U509" i="5"/>
  <c r="V509" i="5"/>
  <c r="V382" i="5"/>
  <c r="V451" i="5"/>
  <c r="U451" i="5"/>
  <c r="V130" i="5"/>
  <c r="U514" i="5"/>
  <c r="U91" i="5"/>
  <c r="V91" i="5"/>
  <c r="V118" i="5"/>
  <c r="V459" i="5"/>
  <c r="V89" i="5"/>
  <c r="U89" i="5"/>
  <c r="V394" i="5"/>
  <c r="V537" i="5"/>
  <c r="V554" i="5"/>
  <c r="U308" i="5"/>
  <c r="V462" i="5"/>
  <c r="U50" i="5"/>
  <c r="V417" i="5"/>
  <c r="U417" i="5"/>
  <c r="V349" i="5"/>
  <c r="V402" i="5"/>
  <c r="V82" i="5"/>
  <c r="AU251" i="5"/>
  <c r="BB31" i="5"/>
  <c r="BA45" i="5"/>
  <c r="AV126" i="5"/>
  <c r="BB92" i="5"/>
  <c r="AU280" i="5"/>
  <c r="BA38" i="5"/>
  <c r="AU177" i="5"/>
  <c r="AV190" i="5"/>
  <c r="BA315" i="5"/>
  <c r="BB305" i="5"/>
  <c r="BB172" i="5"/>
  <c r="BB103" i="5"/>
  <c r="BA238" i="5"/>
  <c r="BB237" i="5"/>
  <c r="BA152" i="5"/>
  <c r="BA51" i="5"/>
  <c r="BB299" i="5"/>
  <c r="BB53" i="5"/>
  <c r="BA75" i="5"/>
  <c r="AU7" i="5"/>
  <c r="AL7" i="5"/>
  <c r="AU301" i="5"/>
  <c r="AV243" i="5"/>
  <c r="AV52" i="5"/>
  <c r="AU159" i="5"/>
  <c r="AU239" i="5"/>
  <c r="AV218" i="5"/>
  <c r="AV297" i="5"/>
  <c r="AV271" i="5"/>
  <c r="AV136" i="5"/>
  <c r="AU283" i="5"/>
  <c r="AU109" i="5"/>
  <c r="AV259" i="5"/>
  <c r="AU163" i="5"/>
  <c r="AV44" i="5"/>
  <c r="AV129" i="5"/>
  <c r="AV335" i="5"/>
  <c r="AU328" i="5"/>
  <c r="AV215" i="5"/>
  <c r="AU84" i="5"/>
  <c r="AU224" i="5"/>
  <c r="AU30" i="5"/>
  <c r="AU183" i="5"/>
  <c r="AV128" i="5"/>
  <c r="AU25" i="5"/>
  <c r="AU230" i="5"/>
  <c r="AV157" i="5"/>
  <c r="AV248" i="5"/>
  <c r="AV209" i="5"/>
  <c r="AU28" i="5"/>
  <c r="AV237" i="5"/>
  <c r="AV217" i="5"/>
  <c r="AV78" i="5"/>
  <c r="AU200" i="5"/>
  <c r="AU255" i="5"/>
  <c r="AV164" i="5"/>
  <c r="AU172" i="5"/>
  <c r="AV195" i="5"/>
  <c r="AU38" i="5"/>
  <c r="AU154" i="5"/>
  <c r="AU240" i="5"/>
  <c r="BA132" i="5"/>
  <c r="BB169" i="5"/>
  <c r="AV156" i="5"/>
  <c r="AU165" i="5"/>
  <c r="AV234" i="5"/>
  <c r="BA227" i="5"/>
  <c r="AU238" i="5"/>
  <c r="AV265" i="5"/>
  <c r="AU316" i="5"/>
  <c r="AU111" i="5"/>
  <c r="AV229" i="5"/>
  <c r="AU37" i="5"/>
  <c r="AV61" i="5"/>
  <c r="AU61" i="5"/>
  <c r="AU75" i="5"/>
  <c r="AV139" i="5"/>
  <c r="AU32" i="5"/>
  <c r="AV205" i="5"/>
  <c r="AV322" i="5"/>
  <c r="AU314" i="5"/>
  <c r="AV36" i="5"/>
  <c r="BB177" i="5"/>
  <c r="BB52" i="5"/>
  <c r="BB32" i="5"/>
  <c r="BB39" i="5"/>
  <c r="BA243" i="5"/>
  <c r="BB331" i="5"/>
  <c r="BA40" i="5"/>
  <c r="BB287" i="5"/>
  <c r="BA268" i="5"/>
  <c r="BA226" i="5"/>
  <c r="BA212" i="5"/>
  <c r="BA329" i="5"/>
  <c r="BA263" i="5"/>
  <c r="BB322" i="5"/>
  <c r="BA174" i="5"/>
  <c r="BB29" i="5"/>
  <c r="BA23" i="5"/>
  <c r="BB69" i="5"/>
  <c r="BB30" i="5"/>
  <c r="BB8" i="5"/>
  <c r="AL184" i="5"/>
  <c r="AK164" i="5"/>
  <c r="AK143" i="5"/>
  <c r="AK24" i="5"/>
  <c r="B144" i="2"/>
  <c r="H58" i="1" s="1"/>
  <c r="AV33" i="5"/>
  <c r="AU33" i="5"/>
  <c r="AV49" i="5"/>
  <c r="AU49" i="5"/>
  <c r="AU560" i="5"/>
  <c r="AV560" i="5"/>
  <c r="AV475" i="5"/>
  <c r="AU475" i="5"/>
  <c r="AV431" i="5"/>
  <c r="AU431" i="5"/>
  <c r="AV119" i="5"/>
  <c r="AU119" i="5"/>
  <c r="AV455" i="5"/>
  <c r="AU455" i="5"/>
  <c r="AU19" i="5"/>
  <c r="AV19" i="5"/>
  <c r="AV546" i="5"/>
  <c r="AU546" i="5"/>
  <c r="AV266" i="5"/>
  <c r="AU266" i="5"/>
  <c r="AU552" i="5"/>
  <c r="AV552" i="5"/>
  <c r="AU256" i="5"/>
  <c r="AV256" i="5"/>
  <c r="AV389" i="5"/>
  <c r="AU389" i="5"/>
  <c r="AU35" i="5"/>
  <c r="AV35" i="5"/>
  <c r="AV482" i="5"/>
  <c r="AU482" i="5"/>
  <c r="AU354" i="5"/>
  <c r="AV354" i="5"/>
  <c r="AV521" i="5"/>
  <c r="AU521" i="5"/>
  <c r="AU454" i="5"/>
  <c r="AV454" i="5"/>
  <c r="AU545" i="5"/>
  <c r="AV545" i="5"/>
  <c r="AV528" i="5"/>
  <c r="AU528" i="5"/>
  <c r="AV498" i="5"/>
  <c r="AU498" i="5"/>
  <c r="AV464" i="5"/>
  <c r="AU464" i="5"/>
  <c r="AU414" i="5"/>
  <c r="AV414" i="5"/>
  <c r="AV374" i="5"/>
  <c r="AU374" i="5"/>
  <c r="AV236" i="5"/>
  <c r="AU236" i="5"/>
  <c r="AV108" i="5"/>
  <c r="AU108" i="5"/>
  <c r="AV446" i="5"/>
  <c r="AU446" i="5"/>
  <c r="AU413" i="5"/>
  <c r="AV413" i="5"/>
  <c r="AU484" i="5"/>
  <c r="AV484" i="5"/>
  <c r="AU463" i="5"/>
  <c r="AV463" i="5"/>
  <c r="AU457" i="5"/>
  <c r="AV457" i="5"/>
  <c r="AU422" i="5"/>
  <c r="AV422" i="5"/>
  <c r="AV409" i="5"/>
  <c r="AU409" i="5"/>
  <c r="AV323" i="5"/>
  <c r="AU323" i="5"/>
  <c r="AV206" i="5"/>
  <c r="AU206" i="5"/>
  <c r="AU68" i="5"/>
  <c r="AV68" i="5"/>
  <c r="AU537" i="5"/>
  <c r="AV537" i="5"/>
  <c r="AU358" i="5"/>
  <c r="AV358" i="5"/>
  <c r="AV554" i="5"/>
  <c r="AU554" i="5"/>
  <c r="AV549" i="5"/>
  <c r="AU549" i="5"/>
  <c r="AV517" i="5"/>
  <c r="AU517" i="5"/>
  <c r="AV481" i="5"/>
  <c r="AU481" i="5"/>
  <c r="AU298" i="5"/>
  <c r="AV298" i="5"/>
  <c r="AV292" i="5"/>
  <c r="AU292" i="5"/>
  <c r="AV171" i="5"/>
  <c r="AU171" i="5"/>
  <c r="AU509" i="5"/>
  <c r="AV509" i="5"/>
  <c r="AV550" i="5"/>
  <c r="AU550" i="5"/>
  <c r="AU478" i="5"/>
  <c r="AV478" i="5"/>
  <c r="AU272" i="5"/>
  <c r="AV272" i="5"/>
  <c r="AU456" i="5"/>
  <c r="AV456" i="5"/>
  <c r="AU518" i="5"/>
  <c r="AV518" i="5"/>
  <c r="AU445" i="5"/>
  <c r="AV445" i="5"/>
  <c r="AV168" i="5"/>
  <c r="AU168" i="5"/>
  <c r="AU352" i="5"/>
  <c r="AV352" i="5"/>
  <c r="AV376" i="5"/>
  <c r="AU376" i="5"/>
  <c r="AU180" i="5"/>
  <c r="AV180" i="5"/>
  <c r="AV388" i="5"/>
  <c r="AU388" i="5"/>
  <c r="AU349" i="5"/>
  <c r="AV349" i="5"/>
  <c r="AU269" i="5"/>
  <c r="AV269" i="5"/>
  <c r="AU258" i="5"/>
  <c r="AV258" i="5"/>
  <c r="AU252" i="5"/>
  <c r="AV252" i="5"/>
  <c r="AV192" i="5"/>
  <c r="AU192" i="5"/>
  <c r="AV140" i="5"/>
  <c r="AU140" i="5"/>
  <c r="AU116" i="5"/>
  <c r="AV116" i="5"/>
  <c r="AU127" i="5"/>
  <c r="AV127" i="5"/>
  <c r="AU72" i="5"/>
  <c r="AV72" i="5"/>
  <c r="AV384" i="5"/>
  <c r="AU384" i="5"/>
  <c r="AU488" i="5"/>
  <c r="AV488" i="5"/>
  <c r="AV350" i="5"/>
  <c r="AU350" i="5"/>
  <c r="AV383" i="5"/>
  <c r="AU383" i="5"/>
  <c r="AV405" i="5"/>
  <c r="AU405" i="5"/>
  <c r="AV326" i="5"/>
  <c r="AU326" i="5"/>
  <c r="AV406" i="5"/>
  <c r="AU406" i="5"/>
  <c r="AU290" i="5"/>
  <c r="AV290" i="5"/>
  <c r="AV313" i="5"/>
  <c r="AU313" i="5"/>
  <c r="AV308" i="5"/>
  <c r="AU308" i="5"/>
  <c r="AU293" i="5"/>
  <c r="AV293" i="5"/>
  <c r="AU188" i="5"/>
  <c r="AV188" i="5"/>
  <c r="AV197" i="5"/>
  <c r="AU197" i="5"/>
  <c r="AV179" i="5"/>
  <c r="AU179" i="5"/>
  <c r="AV151" i="5"/>
  <c r="AU151" i="5"/>
  <c r="AV98" i="5"/>
  <c r="AU98" i="5"/>
  <c r="AU60" i="5"/>
  <c r="AV60" i="5"/>
  <c r="AU380" i="5"/>
  <c r="AV380" i="5"/>
  <c r="AV507" i="5"/>
  <c r="AU507" i="5"/>
  <c r="AV439" i="5"/>
  <c r="AU439" i="5"/>
  <c r="AU483" i="5"/>
  <c r="AV483" i="5"/>
  <c r="AV370" i="5"/>
  <c r="AU370" i="5"/>
  <c r="AU487" i="5"/>
  <c r="AV487" i="5"/>
  <c r="AV346" i="5"/>
  <c r="AU346" i="5"/>
  <c r="AU375" i="5"/>
  <c r="AV375" i="5"/>
  <c r="AV396" i="5"/>
  <c r="AU396" i="5"/>
  <c r="AV321" i="5"/>
  <c r="AU321" i="5"/>
  <c r="AV403" i="5"/>
  <c r="AU403" i="5"/>
  <c r="AU284" i="5"/>
  <c r="AV284" i="5"/>
  <c r="AV303" i="5"/>
  <c r="AU303" i="5"/>
  <c r="AU304" i="5"/>
  <c r="AV304" i="5"/>
  <c r="AV287" i="5"/>
  <c r="AU287" i="5"/>
  <c r="AV166" i="5"/>
  <c r="AU166" i="5"/>
  <c r="AU194" i="5"/>
  <c r="AV194" i="5"/>
  <c r="AV178" i="5"/>
  <c r="AU178" i="5"/>
  <c r="AV148" i="5"/>
  <c r="AU148" i="5"/>
  <c r="AV97" i="5"/>
  <c r="AU97" i="5"/>
  <c r="AU57" i="5"/>
  <c r="AV57" i="5"/>
  <c r="AV155" i="5"/>
  <c r="AU155" i="5"/>
  <c r="AU226" i="5"/>
  <c r="AV226" i="5"/>
  <c r="AU132" i="5"/>
  <c r="AV132" i="5"/>
  <c r="AV519" i="5"/>
  <c r="AU519" i="5"/>
  <c r="AU544" i="5"/>
  <c r="AV544" i="5"/>
  <c r="AV536" i="5"/>
  <c r="AU536" i="5"/>
  <c r="AV531" i="5"/>
  <c r="AU531" i="5"/>
  <c r="AV433" i="5"/>
  <c r="AU433" i="5"/>
  <c r="AU137" i="5"/>
  <c r="AV137" i="5"/>
  <c r="AU432" i="5"/>
  <c r="AV432" i="5"/>
  <c r="AV520" i="5"/>
  <c r="AU520" i="5"/>
  <c r="AU458" i="5"/>
  <c r="AV458" i="5"/>
  <c r="AU330" i="5"/>
  <c r="AV330" i="5"/>
  <c r="AU107" i="5"/>
  <c r="AV107" i="5"/>
  <c r="AV395" i="5"/>
  <c r="AU395" i="5"/>
  <c r="AV392" i="5"/>
  <c r="AU392" i="5"/>
  <c r="AU357" i="5"/>
  <c r="AV357" i="5"/>
  <c r="AV300" i="5"/>
  <c r="AU300" i="5"/>
  <c r="AU50" i="5"/>
  <c r="AV50" i="5"/>
  <c r="AV504" i="5"/>
  <c r="AU504" i="5"/>
  <c r="AV472" i="5"/>
  <c r="AU472" i="5"/>
  <c r="AV469" i="5"/>
  <c r="AU469" i="5"/>
  <c r="AV369" i="5"/>
  <c r="AU369" i="5"/>
  <c r="AV268" i="5"/>
  <c r="AU268" i="5"/>
  <c r="AU174" i="5"/>
  <c r="AV174" i="5"/>
  <c r="AU289" i="5"/>
  <c r="AV289" i="5"/>
  <c r="AU232" i="5"/>
  <c r="AV232" i="5"/>
  <c r="AV158" i="5"/>
  <c r="AU158" i="5"/>
  <c r="AV94" i="5"/>
  <c r="AU94" i="5"/>
  <c r="AU499" i="5"/>
  <c r="AV499" i="5"/>
  <c r="AV404" i="5"/>
  <c r="AU404" i="5"/>
  <c r="AV355" i="5"/>
  <c r="AU355" i="5"/>
  <c r="AV364" i="5"/>
  <c r="AU364" i="5"/>
  <c r="AU196" i="5"/>
  <c r="AV196" i="5"/>
  <c r="AV225" i="5"/>
  <c r="AU225" i="5"/>
  <c r="AU161" i="5"/>
  <c r="AV161" i="5"/>
  <c r="AV85" i="5"/>
  <c r="AU85" i="5"/>
  <c r="AU473" i="5"/>
  <c r="AV473" i="5"/>
  <c r="AU459" i="5"/>
  <c r="AV459" i="5"/>
  <c r="AU425" i="5"/>
  <c r="AV425" i="5"/>
  <c r="AV412" i="5"/>
  <c r="AU412" i="5"/>
  <c r="AV410" i="5"/>
  <c r="AU410" i="5"/>
  <c r="AV421" i="5"/>
  <c r="AU421" i="5"/>
  <c r="AV117" i="5"/>
  <c r="AU117" i="5"/>
  <c r="AV315" i="5"/>
  <c r="AU315" i="5"/>
  <c r="AU193" i="5"/>
  <c r="AV193" i="5"/>
  <c r="AU82" i="5"/>
  <c r="AV82" i="5"/>
  <c r="AV423" i="5"/>
  <c r="AU423" i="5"/>
  <c r="AV529" i="5"/>
  <c r="AU529" i="5"/>
  <c r="AU515" i="5"/>
  <c r="AV515" i="5"/>
  <c r="AV123" i="5"/>
  <c r="AU123" i="5"/>
  <c r="AV535" i="5"/>
  <c r="AU535" i="5"/>
  <c r="AU394" i="5"/>
  <c r="AV394" i="5"/>
  <c r="AV204" i="5"/>
  <c r="AU204" i="5"/>
  <c r="AV470" i="5"/>
  <c r="AU470" i="5"/>
  <c r="AU471" i="5"/>
  <c r="AV471" i="5"/>
  <c r="AV207" i="5"/>
  <c r="AU207" i="5"/>
  <c r="AU449" i="5"/>
  <c r="AV449" i="5"/>
  <c r="AV426" i="5"/>
  <c r="AU426" i="5"/>
  <c r="AV495" i="5"/>
  <c r="AU495" i="5"/>
  <c r="AV476" i="5"/>
  <c r="AU476" i="5"/>
  <c r="AV462" i="5"/>
  <c r="AU462" i="5"/>
  <c r="AV434" i="5"/>
  <c r="AU434" i="5"/>
  <c r="AV339" i="5"/>
  <c r="AU339" i="5"/>
  <c r="AV343" i="5"/>
  <c r="AU343" i="5"/>
  <c r="AV227" i="5"/>
  <c r="AU227" i="5"/>
  <c r="AU80" i="5"/>
  <c r="AV80" i="5"/>
  <c r="AU556" i="5"/>
  <c r="AV556" i="5"/>
  <c r="AU365" i="5"/>
  <c r="AV365" i="5"/>
  <c r="AV441" i="5"/>
  <c r="AU441" i="5"/>
  <c r="AU551" i="5"/>
  <c r="AV551" i="5"/>
  <c r="AV302" i="5"/>
  <c r="AU302" i="5"/>
  <c r="AU493" i="5"/>
  <c r="AV493" i="5"/>
  <c r="AU333" i="5"/>
  <c r="AV333" i="5"/>
  <c r="AU325" i="5"/>
  <c r="AV325" i="5"/>
  <c r="AU125" i="5"/>
  <c r="AV125" i="5"/>
  <c r="AU534" i="5"/>
  <c r="AV534" i="5"/>
  <c r="AU467" i="5"/>
  <c r="AV467" i="5"/>
  <c r="AV555" i="5"/>
  <c r="AU555" i="5"/>
  <c r="AV539" i="5"/>
  <c r="AU539" i="5"/>
  <c r="AV512" i="5"/>
  <c r="AU512" i="5"/>
  <c r="AV485" i="5"/>
  <c r="AU485" i="5"/>
  <c r="AU344" i="5"/>
  <c r="AV344" i="5"/>
  <c r="AU401" i="5"/>
  <c r="AV401" i="5"/>
  <c r="AV277" i="5"/>
  <c r="AU277" i="5"/>
  <c r="AU124" i="5"/>
  <c r="AV124" i="5"/>
  <c r="AV479" i="5"/>
  <c r="AU479" i="5"/>
  <c r="AU543" i="5"/>
  <c r="AV543" i="5"/>
  <c r="AV468" i="5"/>
  <c r="AU468" i="5"/>
  <c r="AV501" i="5"/>
  <c r="AU501" i="5"/>
  <c r="AV435" i="5"/>
  <c r="AU435" i="5"/>
  <c r="AV502" i="5"/>
  <c r="AU502" i="5"/>
  <c r="AV427" i="5"/>
  <c r="AU427" i="5"/>
  <c r="AV411" i="5"/>
  <c r="AU411" i="5"/>
  <c r="AV317" i="5"/>
  <c r="AU317" i="5"/>
  <c r="AU362" i="5"/>
  <c r="AV362" i="5"/>
  <c r="AV429" i="5"/>
  <c r="AU429" i="5"/>
  <c r="AV366" i="5"/>
  <c r="AU366" i="5"/>
  <c r="AV342" i="5"/>
  <c r="AU342" i="5"/>
  <c r="AU244" i="5"/>
  <c r="AV244" i="5"/>
  <c r="AV332" i="5"/>
  <c r="AU332" i="5"/>
  <c r="AU235" i="5"/>
  <c r="AV235" i="5"/>
  <c r="AV223" i="5"/>
  <c r="AU223" i="5"/>
  <c r="AU169" i="5"/>
  <c r="AV169" i="5"/>
  <c r="AV134" i="5"/>
  <c r="AU134" i="5"/>
  <c r="AV101" i="5"/>
  <c r="AU101" i="5"/>
  <c r="AV26" i="5"/>
  <c r="AU26" i="5"/>
  <c r="AV294" i="5"/>
  <c r="AU294" i="5"/>
  <c r="AV466" i="5"/>
  <c r="AU466" i="5"/>
  <c r="AU305" i="5"/>
  <c r="AV305" i="5"/>
  <c r="AV361" i="5"/>
  <c r="AU361" i="5"/>
  <c r="AV387" i="5"/>
  <c r="AU387" i="5"/>
  <c r="AU267" i="5"/>
  <c r="AV267" i="5"/>
  <c r="AV398" i="5"/>
  <c r="AU398" i="5"/>
  <c r="AV359" i="5"/>
  <c r="AU359" i="5"/>
  <c r="AU288" i="5"/>
  <c r="AV288" i="5"/>
  <c r="AU279" i="5"/>
  <c r="AV279" i="5"/>
  <c r="AU263" i="5"/>
  <c r="AV263" i="5"/>
  <c r="AU220" i="5"/>
  <c r="AV220" i="5"/>
  <c r="AU167" i="5"/>
  <c r="AV167" i="5"/>
  <c r="AV147" i="5"/>
  <c r="AU147" i="5"/>
  <c r="AV145" i="5"/>
  <c r="AU145" i="5"/>
  <c r="AU86" i="5"/>
  <c r="AV86" i="5"/>
  <c r="AU40" i="5"/>
  <c r="AV40" i="5"/>
  <c r="AV553" i="5"/>
  <c r="AU553" i="5"/>
  <c r="AV486" i="5"/>
  <c r="AU486" i="5"/>
  <c r="AV337" i="5"/>
  <c r="AU337" i="5"/>
  <c r="AV460" i="5"/>
  <c r="AU460" i="5"/>
  <c r="AU530" i="5"/>
  <c r="AV530" i="5"/>
  <c r="AU451" i="5"/>
  <c r="AV451" i="5"/>
  <c r="AV275" i="5"/>
  <c r="AU275" i="5"/>
  <c r="AU360" i="5"/>
  <c r="AV360" i="5"/>
  <c r="AU386" i="5"/>
  <c r="AV386" i="5"/>
  <c r="AV262" i="5"/>
  <c r="AU262" i="5"/>
  <c r="AU397" i="5"/>
  <c r="AV397" i="5"/>
  <c r="AU356" i="5"/>
  <c r="AV356" i="5"/>
  <c r="AV285" i="5"/>
  <c r="AU285" i="5"/>
  <c r="AV278" i="5"/>
  <c r="AU278" i="5"/>
  <c r="AU260" i="5"/>
  <c r="AV260" i="5"/>
  <c r="AV216" i="5"/>
  <c r="AU216" i="5"/>
  <c r="AU162" i="5"/>
  <c r="AV162" i="5"/>
  <c r="AU144" i="5"/>
  <c r="AV144" i="5"/>
  <c r="AV143" i="5"/>
  <c r="AU143" i="5"/>
  <c r="AU81" i="5"/>
  <c r="AV81" i="5"/>
  <c r="AU45" i="5"/>
  <c r="AV45" i="5"/>
  <c r="AV547" i="5"/>
  <c r="AU547" i="5"/>
  <c r="AV461" i="5"/>
  <c r="AU461" i="5"/>
  <c r="AU281" i="5"/>
  <c r="AV281" i="5"/>
  <c r="AU353" i="5"/>
  <c r="AV353" i="5"/>
  <c r="AV523" i="5"/>
  <c r="AU523" i="5"/>
  <c r="AV542" i="5"/>
  <c r="AU542" i="5"/>
  <c r="AV497" i="5"/>
  <c r="AU497" i="5"/>
  <c r="AU203" i="5"/>
  <c r="AV203" i="5"/>
  <c r="AU503" i="5"/>
  <c r="AV503" i="5"/>
  <c r="AU533" i="5"/>
  <c r="AV533" i="5"/>
  <c r="AV480" i="5"/>
  <c r="AU480" i="5"/>
  <c r="AU390" i="5"/>
  <c r="AV390" i="5"/>
  <c r="AU213" i="5"/>
  <c r="AV213" i="5"/>
  <c r="AV440" i="5"/>
  <c r="AU440" i="5"/>
  <c r="AV465" i="5"/>
  <c r="AU465" i="5"/>
  <c r="AU452" i="5"/>
  <c r="AV452" i="5"/>
  <c r="AV393" i="5"/>
  <c r="AU393" i="5"/>
  <c r="AU186" i="5"/>
  <c r="AV186" i="5"/>
  <c r="AV559" i="5"/>
  <c r="AU559" i="5"/>
  <c r="AU399" i="5"/>
  <c r="AV399" i="5"/>
  <c r="AV331" i="5"/>
  <c r="AU331" i="5"/>
  <c r="AU334" i="5"/>
  <c r="AV334" i="5"/>
  <c r="AU391" i="5"/>
  <c r="AV391" i="5"/>
  <c r="AV400" i="5"/>
  <c r="AU400" i="5"/>
  <c r="AV296" i="5"/>
  <c r="AU296" i="5"/>
  <c r="AU274" i="5"/>
  <c r="AV274" i="5"/>
  <c r="AV185" i="5"/>
  <c r="AU185" i="5"/>
  <c r="AV104" i="5"/>
  <c r="AU104" i="5"/>
  <c r="AU48" i="5"/>
  <c r="AV48" i="5"/>
  <c r="AV419" i="5"/>
  <c r="AU419" i="5"/>
  <c r="AU202" i="5"/>
  <c r="AV202" i="5"/>
  <c r="AV424" i="5"/>
  <c r="AU424" i="5"/>
  <c r="AV338" i="5"/>
  <c r="AU338" i="5"/>
  <c r="AV320" i="5"/>
  <c r="AU320" i="5"/>
  <c r="AU208" i="5"/>
  <c r="AV208" i="5"/>
  <c r="AV120" i="5"/>
  <c r="AU120" i="5"/>
  <c r="AV59" i="5"/>
  <c r="AU59" i="5"/>
  <c r="AV525" i="5"/>
  <c r="AU525" i="5"/>
  <c r="AV496" i="5"/>
  <c r="AU496" i="5"/>
  <c r="AV494" i="5"/>
  <c r="AU494" i="5"/>
  <c r="AV402" i="5"/>
  <c r="AU402" i="5"/>
  <c r="AV340" i="5"/>
  <c r="AU340" i="5"/>
  <c r="AV341" i="5"/>
  <c r="AU341" i="5"/>
  <c r="AV336" i="5"/>
  <c r="AU336" i="5"/>
  <c r="AU222" i="5"/>
  <c r="AV222" i="5"/>
  <c r="AU149" i="5"/>
  <c r="AV149" i="5"/>
  <c r="AV58" i="5"/>
  <c r="AU58" i="5"/>
  <c r="AU381" i="5"/>
  <c r="AV381" i="5"/>
  <c r="AV540" i="5"/>
  <c r="AU540" i="5"/>
  <c r="AV450" i="5"/>
  <c r="AU450" i="5"/>
  <c r="AV527" i="5"/>
  <c r="AU527" i="5"/>
  <c r="AV505" i="5"/>
  <c r="AU505" i="5"/>
  <c r="AV254" i="5"/>
  <c r="AU254" i="5"/>
  <c r="AV522" i="5"/>
  <c r="AU522" i="5"/>
  <c r="AV428" i="5"/>
  <c r="AU428" i="5"/>
  <c r="AV442" i="5"/>
  <c r="AU442" i="5"/>
  <c r="AV76" i="5"/>
  <c r="AU76" i="5"/>
  <c r="AU558" i="5"/>
  <c r="AV558" i="5"/>
  <c r="AU377" i="5"/>
  <c r="AV377" i="5"/>
  <c r="AV444" i="5"/>
  <c r="AU444" i="5"/>
  <c r="AU557" i="5"/>
  <c r="AV557" i="5"/>
  <c r="AV363" i="5"/>
  <c r="AU363" i="5"/>
  <c r="AU508" i="5"/>
  <c r="AV508" i="5"/>
  <c r="AV367" i="5"/>
  <c r="AU367" i="5"/>
  <c r="AV253" i="5"/>
  <c r="AU253" i="5"/>
  <c r="AU170" i="5"/>
  <c r="AV170" i="5"/>
  <c r="AU538" i="5"/>
  <c r="AV538" i="5"/>
  <c r="AU511" i="5"/>
  <c r="AV511" i="5"/>
  <c r="AV532" i="5"/>
  <c r="AU532" i="5"/>
  <c r="AU541" i="5"/>
  <c r="AV541" i="5"/>
  <c r="AV524" i="5"/>
  <c r="AU524" i="5"/>
  <c r="AV491" i="5"/>
  <c r="AU491" i="5"/>
  <c r="AU379" i="5"/>
  <c r="AV379" i="5"/>
  <c r="AU420" i="5"/>
  <c r="AV420" i="5"/>
  <c r="AU309" i="5"/>
  <c r="AV309" i="5"/>
  <c r="AV106" i="5"/>
  <c r="AU106" i="5"/>
  <c r="AU500" i="5"/>
  <c r="AV500" i="5"/>
  <c r="AV430" i="5"/>
  <c r="AU430" i="5"/>
  <c r="AU526" i="5"/>
  <c r="AV526" i="5"/>
  <c r="AU506" i="5"/>
  <c r="AV506" i="5"/>
  <c r="AV477" i="5"/>
  <c r="AU477" i="5"/>
  <c r="AV448" i="5"/>
  <c r="AU448" i="5"/>
  <c r="AV373" i="5"/>
  <c r="AU373" i="5"/>
  <c r="AV231" i="5"/>
  <c r="AU231" i="5"/>
  <c r="AU242" i="5"/>
  <c r="AV242" i="5"/>
  <c r="AU74" i="5"/>
  <c r="AV74" i="5"/>
  <c r="AU416" i="5"/>
  <c r="AV416" i="5"/>
  <c r="AU514" i="5"/>
  <c r="AV514" i="5"/>
  <c r="AU453" i="5"/>
  <c r="AV453" i="5"/>
  <c r="AU490" i="5"/>
  <c r="AV490" i="5"/>
  <c r="AU408" i="5"/>
  <c r="AV408" i="5"/>
  <c r="AU489" i="5"/>
  <c r="AV489" i="5"/>
  <c r="AU371" i="5"/>
  <c r="AV371" i="5"/>
  <c r="AU385" i="5"/>
  <c r="AV385" i="5"/>
  <c r="AU407" i="5"/>
  <c r="AV407" i="5"/>
  <c r="AV329" i="5"/>
  <c r="AU329" i="5"/>
  <c r="AV415" i="5"/>
  <c r="AU415" i="5"/>
  <c r="AV310" i="5"/>
  <c r="AU310" i="5"/>
  <c r="AU318" i="5"/>
  <c r="AV318" i="5"/>
  <c r="AV319" i="5"/>
  <c r="AU319" i="5"/>
  <c r="AU306" i="5"/>
  <c r="AV306" i="5"/>
  <c r="AU212" i="5"/>
  <c r="AV212" i="5"/>
  <c r="AV201" i="5"/>
  <c r="AU201" i="5"/>
  <c r="AV112" i="5"/>
  <c r="AU112" i="5"/>
  <c r="AU99" i="5"/>
  <c r="AV99" i="5"/>
  <c r="AV105" i="5"/>
  <c r="AU105" i="5"/>
  <c r="AU67" i="5"/>
  <c r="AV67" i="5"/>
  <c r="AV513" i="5"/>
  <c r="AU513" i="5"/>
  <c r="AV443" i="5"/>
  <c r="AU443" i="5"/>
  <c r="AV418" i="5"/>
  <c r="AU418" i="5"/>
  <c r="AV351" i="5"/>
  <c r="AU351" i="5"/>
  <c r="AV372" i="5"/>
  <c r="AU372" i="5"/>
  <c r="AV437" i="5"/>
  <c r="AU437" i="5"/>
  <c r="AV382" i="5"/>
  <c r="AU382" i="5"/>
  <c r="AV348" i="5"/>
  <c r="AU348" i="5"/>
  <c r="AV264" i="5"/>
  <c r="AU264" i="5"/>
  <c r="AU241" i="5"/>
  <c r="AV241" i="5"/>
  <c r="AV228" i="5"/>
  <c r="AU228" i="5"/>
  <c r="AU247" i="5"/>
  <c r="AV247" i="5"/>
  <c r="AV95" i="5"/>
  <c r="AU95" i="5"/>
  <c r="AU152" i="5"/>
  <c r="AV152" i="5"/>
  <c r="AU114" i="5"/>
  <c r="AV114" i="5"/>
  <c r="AU73" i="5"/>
  <c r="AV73" i="5"/>
  <c r="AU492" i="5"/>
  <c r="AV492" i="5"/>
  <c r="AV548" i="5"/>
  <c r="AU548" i="5"/>
  <c r="AV474" i="5"/>
  <c r="AU474" i="5"/>
  <c r="AV516" i="5"/>
  <c r="AU516" i="5"/>
  <c r="AV447" i="5"/>
  <c r="AU447" i="5"/>
  <c r="AV510" i="5"/>
  <c r="AU510" i="5"/>
  <c r="AV438" i="5"/>
  <c r="AU438" i="5"/>
  <c r="AV417" i="5"/>
  <c r="AU417" i="5"/>
  <c r="AV347" i="5"/>
  <c r="AU347" i="5"/>
  <c r="AU368" i="5"/>
  <c r="AV368" i="5"/>
  <c r="AV436" i="5"/>
  <c r="AU436" i="5"/>
  <c r="AV378" i="5"/>
  <c r="AU378" i="5"/>
  <c r="AV345" i="5"/>
  <c r="AU345" i="5"/>
  <c r="AV261" i="5"/>
  <c r="AU261" i="5"/>
  <c r="AV219" i="5"/>
  <c r="AU219" i="5"/>
  <c r="AV214" i="5"/>
  <c r="AU214" i="5"/>
  <c r="AU245" i="5"/>
  <c r="AV245" i="5"/>
  <c r="AU184" i="5"/>
  <c r="AV184" i="5"/>
  <c r="AU146" i="5"/>
  <c r="AV146" i="5"/>
  <c r="AU113" i="5"/>
  <c r="AV113" i="5"/>
  <c r="AU70" i="5"/>
  <c r="AV70" i="5"/>
  <c r="AU27" i="5"/>
  <c r="AV27" i="5"/>
  <c r="BA85" i="5"/>
  <c r="BB276" i="5"/>
  <c r="BA54" i="5"/>
  <c r="BA213" i="5"/>
  <c r="BB316" i="5"/>
  <c r="BB133" i="5"/>
  <c r="BB313" i="5"/>
  <c r="BB105" i="5"/>
  <c r="BA88" i="5"/>
  <c r="BB231" i="5"/>
  <c r="BA235" i="5"/>
  <c r="BB109" i="5"/>
  <c r="BB21" i="5"/>
  <c r="BB201" i="5"/>
  <c r="BA339" i="5"/>
  <c r="BB195" i="5"/>
  <c r="BB34" i="5"/>
  <c r="BB241" i="5"/>
  <c r="BB72" i="5"/>
  <c r="BA149" i="5"/>
  <c r="BB225" i="5"/>
  <c r="BB207" i="5"/>
  <c r="BB338" i="5"/>
  <c r="BA76" i="5"/>
  <c r="BB101" i="5"/>
  <c r="BA214" i="5"/>
  <c r="BA317" i="5"/>
  <c r="BA411" i="5"/>
  <c r="BA65" i="5"/>
  <c r="BB145" i="5"/>
  <c r="BB210" i="5"/>
  <c r="BB298" i="5"/>
  <c r="BA41" i="5"/>
  <c r="BA122" i="5"/>
  <c r="BB189" i="5"/>
  <c r="BB306" i="5"/>
  <c r="BB100" i="5"/>
  <c r="BA279" i="5"/>
  <c r="BB147" i="5"/>
  <c r="BA157" i="5"/>
  <c r="BA47" i="5"/>
  <c r="AK71" i="5"/>
  <c r="AL71" i="5"/>
  <c r="AL61" i="5"/>
  <c r="AK61" i="5"/>
  <c r="AK40" i="5"/>
  <c r="AL146" i="5"/>
  <c r="AK146" i="5"/>
  <c r="AK93" i="5"/>
  <c r="AL93" i="5"/>
  <c r="H57" i="1"/>
  <c r="B146" i="2"/>
  <c r="H61" i="1" s="1"/>
  <c r="B143" i="2"/>
  <c r="H59" i="1" s="1"/>
  <c r="AS31" i="5"/>
  <c r="BC31" i="5" s="1"/>
  <c r="AS466" i="5"/>
  <c r="BC466" i="5" s="1"/>
  <c r="AS417" i="5"/>
  <c r="BC417" i="5" s="1"/>
  <c r="AS422" i="5"/>
  <c r="BC422" i="5" s="1"/>
  <c r="AS497" i="5"/>
  <c r="AS449" i="5"/>
  <c r="AS405" i="5"/>
  <c r="BC405" i="5" s="1"/>
  <c r="AS492" i="5"/>
  <c r="AS264" i="5"/>
  <c r="AS26" i="5"/>
  <c r="BC26" i="5" s="1"/>
  <c r="AS12" i="5"/>
  <c r="AS287" i="5"/>
  <c r="BC287" i="5" s="1"/>
  <c r="BE287" i="5" s="1"/>
  <c r="AS339" i="5"/>
  <c r="BC339" i="5" s="1"/>
  <c r="AS446" i="5"/>
  <c r="BC446" i="5" s="1"/>
  <c r="AS91" i="5"/>
  <c r="BC91" i="5" s="1"/>
  <c r="AS161" i="5"/>
  <c r="BC161" i="5" s="1"/>
  <c r="AS484" i="5"/>
  <c r="BC484" i="5" s="1"/>
  <c r="AS310" i="5"/>
  <c r="BC310" i="5" s="1"/>
  <c r="AS50" i="5"/>
  <c r="BC50" i="5" s="1"/>
  <c r="AS435" i="5"/>
  <c r="BC435" i="5" s="1"/>
  <c r="AS210" i="5"/>
  <c r="BC210" i="5" s="1"/>
  <c r="BE210" i="5" s="1"/>
  <c r="AS71" i="5"/>
  <c r="BC71" i="5" s="1"/>
  <c r="BE71" i="5" s="1"/>
  <c r="AS177" i="5"/>
  <c r="BC177" i="5" s="1"/>
  <c r="AS540" i="5"/>
  <c r="BC540" i="5" s="1"/>
  <c r="AS511" i="5"/>
  <c r="BC511" i="5" s="1"/>
  <c r="AS444" i="5"/>
  <c r="BC444" i="5" s="1"/>
  <c r="AS548" i="5"/>
  <c r="AS319" i="5"/>
  <c r="BC319" i="5" s="1"/>
  <c r="AS455" i="5"/>
  <c r="AS128" i="5"/>
  <c r="BC128" i="5" s="1"/>
  <c r="AS528" i="5"/>
  <c r="BC528" i="5" s="1"/>
  <c r="AS434" i="5"/>
  <c r="BC434" i="5" s="1"/>
  <c r="AS205" i="5"/>
  <c r="BC205" i="5" s="1"/>
  <c r="AS538" i="5"/>
  <c r="BC538" i="5" s="1"/>
  <c r="AS452" i="5"/>
  <c r="BC452" i="5" s="1"/>
  <c r="AS265" i="5"/>
  <c r="BC265" i="5" s="1"/>
  <c r="AS64" i="5"/>
  <c r="BC64" i="5" s="1"/>
  <c r="BE64" i="5" s="1"/>
  <c r="AS114" i="5"/>
  <c r="BC114" i="5" s="1"/>
  <c r="BD114" i="5" s="1"/>
  <c r="AS11" i="5"/>
  <c r="AS514" i="5"/>
  <c r="BC514" i="5" s="1"/>
  <c r="AS382" i="5"/>
  <c r="BC382" i="5" s="1"/>
  <c r="AS373" i="5"/>
  <c r="BC373" i="5" s="1"/>
  <c r="AS500" i="5"/>
  <c r="BC500" i="5" s="1"/>
  <c r="AS258" i="5"/>
  <c r="BC258" i="5" s="1"/>
  <c r="AS426" i="5"/>
  <c r="BC426" i="5" s="1"/>
  <c r="AS54" i="5"/>
  <c r="BC54" i="5" s="1"/>
  <c r="AS429" i="5"/>
  <c r="BC429" i="5" s="1"/>
  <c r="AS439" i="5"/>
  <c r="BC439" i="5" s="1"/>
  <c r="AS208" i="5"/>
  <c r="BC208" i="5" s="1"/>
  <c r="AS240" i="5"/>
  <c r="BC240" i="5" s="1"/>
  <c r="AS550" i="5"/>
  <c r="BC550" i="5" s="1"/>
  <c r="AS506" i="5"/>
  <c r="BC506" i="5" s="1"/>
  <c r="AS496" i="5"/>
  <c r="BC496" i="5" s="1"/>
  <c r="AS350" i="5"/>
  <c r="BC350" i="5" s="1"/>
  <c r="AS159" i="5"/>
  <c r="BC159" i="5" s="1"/>
  <c r="AS33" i="5"/>
  <c r="BC33" i="5" s="1"/>
  <c r="AS164" i="5"/>
  <c r="BC164" i="5" s="1"/>
  <c r="BE164" i="5" s="1"/>
  <c r="AS292" i="5"/>
  <c r="BC292" i="5" s="1"/>
  <c r="AS252" i="5"/>
  <c r="BC252" i="5" s="1"/>
  <c r="AS418" i="5"/>
  <c r="BC418" i="5" s="1"/>
  <c r="AS43" i="5"/>
  <c r="BC43" i="5" s="1"/>
  <c r="BD43" i="5" s="1"/>
  <c r="AS120" i="5"/>
  <c r="BC120" i="5" s="1"/>
  <c r="AS219" i="5"/>
  <c r="BC219" i="5" s="1"/>
  <c r="BD219" i="5" s="1"/>
  <c r="AS290" i="5"/>
  <c r="BC290" i="5" s="1"/>
  <c r="AS315" i="5"/>
  <c r="BC315" i="5" s="1"/>
  <c r="BE315" i="5" s="1"/>
  <c r="AS442" i="5"/>
  <c r="BC442" i="5" s="1"/>
  <c r="AS156" i="5"/>
  <c r="BC156" i="5" s="1"/>
  <c r="AS21" i="5"/>
  <c r="AS154" i="5"/>
  <c r="BC154" i="5" s="1"/>
  <c r="AS505" i="5"/>
  <c r="BC505" i="5" s="1"/>
  <c r="AS197" i="5"/>
  <c r="BC197" i="5" s="1"/>
  <c r="AS524" i="5"/>
  <c r="BC524" i="5" s="1"/>
  <c r="AS390" i="5"/>
  <c r="BC390" i="5" s="1"/>
  <c r="AS359" i="5"/>
  <c r="BC359" i="5" s="1"/>
  <c r="AS101" i="5"/>
  <c r="BC101" i="5" s="1"/>
  <c r="AS200" i="5"/>
  <c r="BC200" i="5" s="1"/>
  <c r="AS199" i="5"/>
  <c r="BC199" i="5" s="1"/>
  <c r="AS146" i="5"/>
  <c r="BC146" i="5" s="1"/>
  <c r="AS212" i="5"/>
  <c r="BC212" i="5" s="1"/>
  <c r="AS55" i="5"/>
  <c r="BC55" i="5" s="1"/>
  <c r="BD55" i="5" s="1"/>
  <c r="AS460" i="5"/>
  <c r="BC460" i="5" s="1"/>
  <c r="AS109" i="5"/>
  <c r="BC109" i="5" s="1"/>
  <c r="AS365" i="5"/>
  <c r="BC365" i="5" s="1"/>
  <c r="AS28" i="5"/>
  <c r="BC28" i="5" s="1"/>
  <c r="AS179" i="5"/>
  <c r="BC179" i="5" s="1"/>
  <c r="AS467" i="5"/>
  <c r="BC467" i="5" s="1"/>
  <c r="AS180" i="5"/>
  <c r="BC180" i="5" s="1"/>
  <c r="BE180" i="5" s="1"/>
  <c r="AS398" i="5"/>
  <c r="BC398" i="5" s="1"/>
  <c r="AS207" i="5"/>
  <c r="BC207" i="5" s="1"/>
  <c r="AS428" i="5"/>
  <c r="BC428" i="5" s="1"/>
  <c r="AS488" i="5"/>
  <c r="BC488" i="5" s="1"/>
  <c r="AS306" i="5"/>
  <c r="BC306" i="5" s="1"/>
  <c r="BD306" i="5" s="1"/>
  <c r="AS98" i="5"/>
  <c r="BC98" i="5" s="1"/>
  <c r="BE98" i="5" s="1"/>
  <c r="AS512" i="5"/>
  <c r="BC512" i="5" s="1"/>
  <c r="AS304" i="5"/>
  <c r="BC304" i="5" s="1"/>
  <c r="AS46" i="5"/>
  <c r="BC46" i="5" s="1"/>
  <c r="AS202" i="5"/>
  <c r="BC202" i="5" s="1"/>
  <c r="AS337" i="5"/>
  <c r="BC337" i="5" s="1"/>
  <c r="BD337" i="5" s="1"/>
  <c r="AS228" i="5"/>
  <c r="BC228" i="5" s="1"/>
  <c r="AS552" i="5"/>
  <c r="BC552" i="5" s="1"/>
  <c r="AS157" i="5"/>
  <c r="BC157" i="5" s="1"/>
  <c r="AS355" i="5"/>
  <c r="BC355" i="5" s="1"/>
  <c r="AS508" i="5"/>
  <c r="BC508" i="5" s="1"/>
  <c r="AS515" i="5"/>
  <c r="BC515" i="5" s="1"/>
  <c r="AS215" i="5"/>
  <c r="BC215" i="5" s="1"/>
  <c r="AS29" i="5"/>
  <c r="BC29" i="5" s="1"/>
  <c r="AS454" i="5"/>
  <c r="AS402" i="5"/>
  <c r="BC402" i="5" s="1"/>
  <c r="AS222" i="5"/>
  <c r="BC222" i="5" s="1"/>
  <c r="BE222" i="5" s="1"/>
  <c r="AS84" i="5"/>
  <c r="BC84" i="5" s="1"/>
  <c r="BE84" i="5" s="1"/>
  <c r="AS225" i="5"/>
  <c r="BC225" i="5" s="1"/>
  <c r="AS302" i="5"/>
  <c r="BC302" i="5" s="1"/>
  <c r="AS380" i="5"/>
  <c r="BC380" i="5" s="1"/>
  <c r="AS86" i="5"/>
  <c r="BC86" i="5" s="1"/>
  <c r="BE86" i="5" s="1"/>
  <c r="AS230" i="5"/>
  <c r="BC230" i="5" s="1"/>
  <c r="BD230" i="5" s="1"/>
  <c r="AS358" i="5"/>
  <c r="BC358" i="5" s="1"/>
  <c r="AS371" i="5"/>
  <c r="BC371" i="5" s="1"/>
  <c r="AS149" i="5"/>
  <c r="BC149" i="5" s="1"/>
  <c r="AS192" i="5"/>
  <c r="BC192" i="5" s="1"/>
  <c r="AS85" i="5"/>
  <c r="BC85" i="5" s="1"/>
  <c r="AS22" i="5"/>
  <c r="BC22" i="5" s="1"/>
  <c r="BD22" i="5" s="1"/>
  <c r="AS234" i="5"/>
  <c r="BC234" i="5" s="1"/>
  <c r="BD234" i="5" s="1"/>
  <c r="AS254" i="5"/>
  <c r="BC254" i="5" s="1"/>
  <c r="AS403" i="5"/>
  <c r="BC403" i="5" s="1"/>
  <c r="AS106" i="5"/>
  <c r="BC106" i="5" s="1"/>
  <c r="AS178" i="5"/>
  <c r="BC178" i="5" s="1"/>
  <c r="AS259" i="5"/>
  <c r="AS368" i="5"/>
  <c r="BC368" i="5" s="1"/>
  <c r="AS384" i="5"/>
  <c r="BC384" i="5" s="1"/>
  <c r="AS143" i="5"/>
  <c r="BC143" i="5" s="1"/>
  <c r="AS66" i="5"/>
  <c r="BC66" i="5" s="1"/>
  <c r="BE66" i="5" s="1"/>
  <c r="AS122" i="5"/>
  <c r="BC122" i="5" s="1"/>
  <c r="BD122" i="5" s="1"/>
  <c r="AS99" i="5"/>
  <c r="BC99" i="5" s="1"/>
  <c r="AS36" i="5"/>
  <c r="BC36" i="5" s="1"/>
  <c r="AS267" i="5"/>
  <c r="BC267" i="5" s="1"/>
  <c r="AS283" i="5"/>
  <c r="BC283" i="5" s="1"/>
  <c r="BD283" i="5" s="1"/>
  <c r="AS425" i="5"/>
  <c r="BC425" i="5" s="1"/>
  <c r="AS148" i="5"/>
  <c r="BC148" i="5" s="1"/>
  <c r="AS195" i="5"/>
  <c r="BC195" i="5" s="1"/>
  <c r="BD195" i="5" s="1"/>
  <c r="AS271" i="5"/>
  <c r="BC271" i="5" s="1"/>
  <c r="AS386" i="5"/>
  <c r="BC386" i="5" s="1"/>
  <c r="AS399" i="5"/>
  <c r="BC399" i="5" s="1"/>
  <c r="AS115" i="5"/>
  <c r="BC115" i="5" s="1"/>
  <c r="BE115" i="5" s="1"/>
  <c r="AS47" i="5"/>
  <c r="BC47" i="5" s="1"/>
  <c r="AS184" i="5"/>
  <c r="BC184" i="5" s="1"/>
  <c r="AS100" i="5"/>
  <c r="BC100" i="5" s="1"/>
  <c r="BE100" i="5" s="1"/>
  <c r="AS45" i="5"/>
  <c r="BC45" i="5" s="1"/>
  <c r="BD45" i="5" s="1"/>
  <c r="AS303" i="5"/>
  <c r="BC303" i="5" s="1"/>
  <c r="AS409" i="5"/>
  <c r="BC409" i="5" s="1"/>
  <c r="AS336" i="5"/>
  <c r="BC336" i="5" s="1"/>
  <c r="AS96" i="5"/>
  <c r="BC96" i="5" s="1"/>
  <c r="AS216" i="5"/>
  <c r="BC216" i="5" s="1"/>
  <c r="AS327" i="5"/>
  <c r="BC327" i="5" s="1"/>
  <c r="AS324" i="5"/>
  <c r="BC324" i="5" s="1"/>
  <c r="AS357" i="5"/>
  <c r="BC357" i="5" s="1"/>
  <c r="AS182" i="5"/>
  <c r="BC182" i="5" s="1"/>
  <c r="AS78" i="5"/>
  <c r="BC78" i="5" s="1"/>
  <c r="BE78" i="5" s="1"/>
  <c r="AS172" i="5"/>
  <c r="BC172" i="5" s="1"/>
  <c r="AS142" i="5"/>
  <c r="BC142" i="5" s="1"/>
  <c r="AS37" i="5"/>
  <c r="BC37" i="5" s="1"/>
  <c r="AS522" i="5"/>
  <c r="BC522" i="5" s="1"/>
  <c r="AS366" i="5"/>
  <c r="BC366" i="5" s="1"/>
  <c r="AS165" i="5"/>
  <c r="BC165" i="5" s="1"/>
  <c r="AS322" i="5"/>
  <c r="BC322" i="5" s="1"/>
  <c r="AS110" i="5"/>
  <c r="BC110" i="5" s="1"/>
  <c r="AS464" i="5"/>
  <c r="BC464" i="5" s="1"/>
  <c r="AS51" i="5"/>
  <c r="BC51" i="5" s="1"/>
  <c r="BD51" i="5" s="1"/>
  <c r="AS471" i="5"/>
  <c r="BC471" i="5" s="1"/>
  <c r="AS438" i="5"/>
  <c r="BC438" i="5" s="1"/>
  <c r="AS556" i="5"/>
  <c r="BC556" i="5" s="1"/>
  <c r="AS479" i="5"/>
  <c r="BC479" i="5" s="1"/>
  <c r="AS489" i="5"/>
  <c r="BC489" i="5" s="1"/>
  <c r="AS389" i="5"/>
  <c r="BC389" i="5" s="1"/>
  <c r="AS558" i="5"/>
  <c r="BC558" i="5" s="1"/>
  <c r="AS342" i="5"/>
  <c r="BC342" i="5" s="1"/>
  <c r="AS56" i="5"/>
  <c r="BC56" i="5" s="1"/>
  <c r="AS13" i="5"/>
  <c r="AS256" i="5"/>
  <c r="BC256" i="5" s="1"/>
  <c r="AS547" i="5"/>
  <c r="BC547" i="5" s="1"/>
  <c r="AS223" i="5"/>
  <c r="BC223" i="5" s="1"/>
  <c r="BE223" i="5" s="1"/>
  <c r="AS81" i="5"/>
  <c r="BC81" i="5" s="1"/>
  <c r="AS313" i="5"/>
  <c r="BC313" i="5" s="1"/>
  <c r="AS473" i="5"/>
  <c r="BC473" i="5" s="1"/>
  <c r="AS340" i="5"/>
  <c r="BC340" i="5" s="1"/>
  <c r="AS27" i="5"/>
  <c r="BC27" i="5" s="1"/>
  <c r="BD27" i="5" s="1"/>
  <c r="AS516" i="5"/>
  <c r="BC516" i="5" s="1"/>
  <c r="AS139" i="5"/>
  <c r="BC139" i="5" s="1"/>
  <c r="AS93" i="5"/>
  <c r="BC93" i="5" s="1"/>
  <c r="AS430" i="5"/>
  <c r="BC430" i="5" s="1"/>
  <c r="AS494" i="5"/>
  <c r="BC494" i="5" s="1"/>
  <c r="AS551" i="5"/>
  <c r="BC551" i="5" s="1"/>
  <c r="AS485" i="5"/>
  <c r="BC485" i="5" s="1"/>
  <c r="AS23" i="5"/>
  <c r="BC23" i="5" s="1"/>
  <c r="BE23" i="5" s="1"/>
  <c r="AS227" i="5"/>
  <c r="BC227" i="5" s="1"/>
  <c r="AS519" i="5"/>
  <c r="BC519" i="5" s="1"/>
  <c r="AS397" i="5"/>
  <c r="BC397" i="5" s="1"/>
  <c r="AS299" i="5"/>
  <c r="BC299" i="5" s="1"/>
  <c r="BD299" i="5" s="1"/>
  <c r="AS443" i="5"/>
  <c r="BC443" i="5" s="1"/>
  <c r="AS498" i="5"/>
  <c r="BC498" i="5" s="1"/>
  <c r="AS407" i="5"/>
  <c r="BC407" i="5" s="1"/>
  <c r="AS111" i="5"/>
  <c r="BC111" i="5" s="1"/>
  <c r="AS116" i="5"/>
  <c r="BC116" i="5" s="1"/>
  <c r="AS231" i="5"/>
  <c r="BC231" i="5" s="1"/>
  <c r="BE231" i="5" s="1"/>
  <c r="AS367" i="5"/>
  <c r="BC367" i="5" s="1"/>
  <c r="AS388" i="5"/>
  <c r="BC388" i="5" s="1"/>
  <c r="AS123" i="5"/>
  <c r="AS282" i="5"/>
  <c r="BC282" i="5" s="1"/>
  <c r="AS354" i="5"/>
  <c r="BC354" i="5" s="1"/>
  <c r="AS348" i="5"/>
  <c r="BC348" i="5" s="1"/>
  <c r="AS57" i="5"/>
  <c r="BC57" i="5" s="1"/>
  <c r="AS152" i="5"/>
  <c r="BC152" i="5" s="1"/>
  <c r="AS97" i="5"/>
  <c r="BC97" i="5" s="1"/>
  <c r="BE97" i="5" s="1"/>
  <c r="AS201" i="5"/>
  <c r="BC201" i="5" s="1"/>
  <c r="AS321" i="5"/>
  <c r="BC321" i="5" s="1"/>
  <c r="AS361" i="5"/>
  <c r="BC361" i="5" s="1"/>
  <c r="AS472" i="5"/>
  <c r="BC472" i="5" s="1"/>
  <c r="AS140" i="5"/>
  <c r="BC140" i="5" s="1"/>
  <c r="AS238" i="5"/>
  <c r="BC238" i="5" s="1"/>
  <c r="AS198" i="5"/>
  <c r="BC198" i="5" s="1"/>
  <c r="BD198" i="5" s="1"/>
  <c r="AS193" i="5"/>
  <c r="BC193" i="5" s="1"/>
  <c r="AS394" i="5"/>
  <c r="BC394" i="5" s="1"/>
  <c r="AS131" i="5"/>
  <c r="BC131" i="5" s="1"/>
  <c r="AS25" i="5"/>
  <c r="BC25" i="5" s="1"/>
  <c r="AS141" i="5"/>
  <c r="BC141" i="5" s="1"/>
  <c r="BD141" i="5" s="1"/>
  <c r="AS48" i="5"/>
  <c r="BC48" i="5" s="1"/>
  <c r="BD48" i="5" s="1"/>
  <c r="AS266" i="5"/>
  <c r="BC266" i="5" s="1"/>
  <c r="AS331" i="5"/>
  <c r="AS383" i="5"/>
  <c r="BC383" i="5" s="1"/>
  <c r="AS490" i="5"/>
  <c r="AS155" i="5"/>
  <c r="BC155" i="5" s="1"/>
  <c r="AS194" i="5"/>
  <c r="BC194" i="5" s="1"/>
  <c r="AS247" i="5"/>
  <c r="BC247" i="5" s="1"/>
  <c r="AS257" i="5"/>
  <c r="BC257" i="5" s="1"/>
  <c r="AS406" i="5"/>
  <c r="BC406" i="5" s="1"/>
  <c r="AS117" i="5"/>
  <c r="BC117" i="5" s="1"/>
  <c r="AS40" i="5"/>
  <c r="BC40" i="5" s="1"/>
  <c r="AS121" i="5"/>
  <c r="BC121" i="5" s="1"/>
  <c r="AS75" i="5"/>
  <c r="BC75" i="5" s="1"/>
  <c r="BD75" i="5" s="1"/>
  <c r="AS214" i="5"/>
  <c r="BC214" i="5" s="1"/>
  <c r="BE214" i="5" s="1"/>
  <c r="AS284" i="5"/>
  <c r="BC284" i="5" s="1"/>
  <c r="AS312" i="5"/>
  <c r="BC312" i="5" s="1"/>
  <c r="AS436" i="5"/>
  <c r="BC436" i="5" s="1"/>
  <c r="AS102" i="5"/>
  <c r="BC102" i="5" s="1"/>
  <c r="AS217" i="5"/>
  <c r="BC217" i="5" s="1"/>
  <c r="AS291" i="5"/>
  <c r="BC291" i="5" s="1"/>
  <c r="AS396" i="5"/>
  <c r="BC396" i="5" s="1"/>
  <c r="AS416" i="5"/>
  <c r="BC416" i="5" s="1"/>
  <c r="AS88" i="5"/>
  <c r="BC88" i="5" s="1"/>
  <c r="AS65" i="5"/>
  <c r="BC65" i="5" s="1"/>
  <c r="BD65" i="5" s="1"/>
  <c r="AS169" i="5"/>
  <c r="BC169" i="5" s="1"/>
  <c r="AS83" i="5"/>
  <c r="BC83" i="5" s="1"/>
  <c r="BD83" i="5" s="1"/>
  <c r="AS445" i="5"/>
  <c r="BC445" i="5" s="1"/>
  <c r="AS504" i="5"/>
  <c r="BC504" i="5" s="1"/>
  <c r="AS493" i="5"/>
  <c r="BC493" i="5" s="1"/>
  <c r="AS135" i="5"/>
  <c r="BC135" i="5" s="1"/>
  <c r="AS235" i="5"/>
  <c r="BC235" i="5" s="1"/>
  <c r="AS468" i="5"/>
  <c r="BC468" i="5" s="1"/>
  <c r="AS241" i="5"/>
  <c r="BC241" i="5" s="1"/>
  <c r="AS333" i="5"/>
  <c r="BC333" i="5" s="1"/>
  <c r="AS539" i="5"/>
  <c r="BC539" i="5" s="1"/>
  <c r="AS408" i="5"/>
  <c r="BC408" i="5" s="1"/>
  <c r="AS502" i="5"/>
  <c r="BC502" i="5" s="1"/>
  <c r="AS459" i="5"/>
  <c r="BC459" i="5" s="1"/>
  <c r="AS431" i="5"/>
  <c r="BC431" i="5" s="1"/>
  <c r="AS173" i="5"/>
  <c r="BC173" i="5" s="1"/>
  <c r="AS534" i="5"/>
  <c r="BC534" i="5" s="1"/>
  <c r="AS250" i="5"/>
  <c r="BC250" i="5" s="1"/>
  <c r="AS535" i="5"/>
  <c r="BC535" i="5" s="1"/>
  <c r="AS463" i="5"/>
  <c r="AS82" i="5"/>
  <c r="BC82" i="5" s="1"/>
  <c r="BD82" i="5" s="1"/>
  <c r="AS423" i="5"/>
  <c r="BC423" i="5" s="1"/>
  <c r="AS63" i="5"/>
  <c r="BC63" i="5" s="1"/>
  <c r="AS253" i="5"/>
  <c r="BC253" i="5" s="1"/>
  <c r="AS456" i="5"/>
  <c r="BC456" i="5" s="1"/>
  <c r="AS183" i="5"/>
  <c r="BC183" i="5" s="1"/>
  <c r="AS118" i="5"/>
  <c r="BC118" i="5" s="1"/>
  <c r="AS138" i="5"/>
  <c r="BC138" i="5" s="1"/>
  <c r="AS308" i="5"/>
  <c r="BC308" i="5" s="1"/>
  <c r="AS334" i="5"/>
  <c r="BC334" i="5" s="1"/>
  <c r="AS181" i="5"/>
  <c r="BC181" i="5" s="1"/>
  <c r="AS305" i="5"/>
  <c r="BC305" i="5" s="1"/>
  <c r="BE305" i="5" s="1"/>
  <c r="AS458" i="5"/>
  <c r="BC458" i="5" s="1"/>
  <c r="AS211" i="5"/>
  <c r="BC211" i="5" s="1"/>
  <c r="AS53" i="5"/>
  <c r="BC53" i="5" s="1"/>
  <c r="BD53" i="5" s="1"/>
  <c r="AS301" i="5"/>
  <c r="BC301" i="5" s="1"/>
  <c r="AS60" i="5"/>
  <c r="BC60" i="5" s="1"/>
  <c r="AS246" i="5"/>
  <c r="BC246" i="5" s="1"/>
  <c r="BD246" i="5" s="1"/>
  <c r="AS369" i="5"/>
  <c r="BC369" i="5" s="1"/>
  <c r="BE369" i="5" s="1"/>
  <c r="AS104" i="5"/>
  <c r="AS133" i="5"/>
  <c r="BC133" i="5" s="1"/>
  <c r="BD133" i="5" s="1"/>
  <c r="AS279" i="5"/>
  <c r="BC279" i="5" s="1"/>
  <c r="AS404" i="5"/>
  <c r="BC404" i="5" s="1"/>
  <c r="AS127" i="5"/>
  <c r="BC127" i="5" s="1"/>
  <c r="BD127" i="5" s="1"/>
  <c r="AS268" i="5"/>
  <c r="BC268" i="5" s="1"/>
  <c r="AS433" i="5"/>
  <c r="BC433" i="5" s="1"/>
  <c r="AS42" i="5"/>
  <c r="BC42" i="5" s="1"/>
  <c r="AS35" i="5"/>
  <c r="BC35" i="5" s="1"/>
  <c r="BE35" i="5" s="1"/>
  <c r="AS320" i="5"/>
  <c r="BC320" i="5" s="1"/>
  <c r="AS410" i="5"/>
  <c r="BC410" i="5" s="1"/>
  <c r="AS124" i="5"/>
  <c r="BC124" i="5" s="1"/>
  <c r="AS326" i="5"/>
  <c r="BC326" i="5" s="1"/>
  <c r="AS39" i="5"/>
  <c r="BC39" i="5" s="1"/>
  <c r="AS103" i="5"/>
  <c r="BC103" i="5" s="1"/>
  <c r="BD103" i="5" s="1"/>
  <c r="AS391" i="5"/>
  <c r="BC391" i="5" s="1"/>
  <c r="AS220" i="5"/>
  <c r="BC220" i="5" s="1"/>
  <c r="AS518" i="5"/>
  <c r="BC518" i="5" s="1"/>
  <c r="AS343" i="5"/>
  <c r="BC343" i="5" s="1"/>
  <c r="AS381" i="5"/>
  <c r="BC381" i="5" s="1"/>
  <c r="AS105" i="5"/>
  <c r="BC105" i="5" s="1"/>
  <c r="AS134" i="5"/>
  <c r="BC134" i="5" s="1"/>
  <c r="AS349" i="5"/>
  <c r="BC349" i="5" s="1"/>
  <c r="AS125" i="5"/>
  <c r="BC125" i="5" s="1"/>
  <c r="AS196" i="5"/>
  <c r="BC196" i="5" s="1"/>
  <c r="AS176" i="5"/>
  <c r="BC176" i="5" s="1"/>
  <c r="AS542" i="5"/>
  <c r="BC542" i="5" s="1"/>
  <c r="AS170" i="5"/>
  <c r="BC170" i="5" s="1"/>
  <c r="AS483" i="5"/>
  <c r="BC483" i="5" s="1"/>
  <c r="AS332" i="5"/>
  <c r="BC332" i="5" s="1"/>
  <c r="AS187" i="5"/>
  <c r="BC187" i="5" s="1"/>
  <c r="AS224" i="5"/>
  <c r="BC224" i="5" s="1"/>
  <c r="AS448" i="5"/>
  <c r="BC448" i="5" s="1"/>
  <c r="AS24" i="5"/>
  <c r="BC24" i="5" s="1"/>
  <c r="AS364" i="5"/>
  <c r="BC364" i="5" s="1"/>
  <c r="AS527" i="5"/>
  <c r="BC527" i="5" s="1"/>
  <c r="AS520" i="5"/>
  <c r="BC520" i="5" s="1"/>
  <c r="AS32" i="5"/>
  <c r="BC32" i="5" s="1"/>
  <c r="AS531" i="5"/>
  <c r="BC531" i="5" s="1"/>
  <c r="AS513" i="5"/>
  <c r="BC513" i="5" s="1"/>
  <c r="AS377" i="5"/>
  <c r="BC377" i="5" s="1"/>
  <c r="AS507" i="5"/>
  <c r="BC507" i="5" s="1"/>
  <c r="AS144" i="5"/>
  <c r="BC144" i="5" s="1"/>
  <c r="BD144" i="5" s="1"/>
  <c r="AS263" i="5"/>
  <c r="BC263" i="5" s="1"/>
  <c r="BE263" i="5" s="1"/>
  <c r="AS34" i="5"/>
  <c r="BC34" i="5" s="1"/>
  <c r="BD34" i="5" s="1"/>
  <c r="AS323" i="5"/>
  <c r="BC323" i="5" s="1"/>
  <c r="AS38" i="5"/>
  <c r="BC38" i="5" s="1"/>
  <c r="BD38" i="5" s="1"/>
  <c r="AS307" i="5"/>
  <c r="BC307" i="5" s="1"/>
  <c r="AS163" i="5"/>
  <c r="BC163" i="5" s="1"/>
  <c r="BD163" i="5" s="1"/>
  <c r="AS112" i="5"/>
  <c r="BC112" i="5" s="1"/>
  <c r="BE112" i="5" s="1"/>
  <c r="AS269" i="5"/>
  <c r="BC269" i="5" s="1"/>
  <c r="BE269" i="5" s="1"/>
  <c r="AS395" i="5"/>
  <c r="BC395" i="5" s="1"/>
  <c r="AS204" i="5"/>
  <c r="BC204" i="5" s="1"/>
  <c r="AS255" i="5"/>
  <c r="BC255" i="5" s="1"/>
  <c r="AS162" i="5"/>
  <c r="BC162" i="5" s="1"/>
  <c r="AS168" i="5"/>
  <c r="BC168" i="5" s="1"/>
  <c r="BD168" i="5" s="1"/>
  <c r="AS62" i="5"/>
  <c r="BC62" i="5" s="1"/>
  <c r="AS393" i="5"/>
  <c r="BC393" i="5" s="1"/>
  <c r="BD393" i="5" s="1"/>
  <c r="AS79" i="5"/>
  <c r="AS311" i="5"/>
  <c r="BC311" i="5" s="1"/>
  <c r="AS335" i="5"/>
  <c r="BC335" i="5" s="1"/>
  <c r="AS74" i="5"/>
  <c r="BC74" i="5" s="1"/>
  <c r="AS160" i="5"/>
  <c r="BC160" i="5" s="1"/>
  <c r="AS171" i="5"/>
  <c r="BC171" i="5" s="1"/>
  <c r="AS370" i="5"/>
  <c r="BC370" i="5" s="1"/>
  <c r="AS175" i="5"/>
  <c r="BC175" i="5" s="1"/>
  <c r="BE175" i="5" s="1"/>
  <c r="AS341" i="5"/>
  <c r="BC341" i="5" s="1"/>
  <c r="AS174" i="5"/>
  <c r="BC174" i="5" s="1"/>
  <c r="AS158" i="5"/>
  <c r="BC158" i="5" s="1"/>
  <c r="BE158" i="5" s="1"/>
  <c r="AS58" i="5"/>
  <c r="BC58" i="5" s="1"/>
  <c r="AS206" i="5"/>
  <c r="BC206" i="5" s="1"/>
  <c r="AS486" i="5"/>
  <c r="BC486" i="5" s="1"/>
  <c r="AS376" i="5"/>
  <c r="BC376" i="5" s="1"/>
  <c r="AS378" i="5"/>
  <c r="BC378" i="5" s="1"/>
  <c r="AS530" i="5"/>
  <c r="BC530" i="5" s="1"/>
  <c r="AS153" i="5"/>
  <c r="BC153" i="5" s="1"/>
  <c r="AS526" i="5"/>
  <c r="BC526" i="5" s="1"/>
  <c r="AS328" i="5"/>
  <c r="BC328" i="5" s="1"/>
  <c r="AS461" i="5"/>
  <c r="BC461" i="5" s="1"/>
  <c r="AS20" i="5"/>
  <c r="BC20" i="5" s="1"/>
  <c r="AS451" i="5"/>
  <c r="BC451" i="5" s="1"/>
  <c r="AS145" i="5"/>
  <c r="BC145" i="5" s="1"/>
  <c r="AS441" i="5"/>
  <c r="BC441" i="5" s="1"/>
  <c r="AS69" i="5"/>
  <c r="BC69" i="5" s="1"/>
  <c r="AS274" i="5"/>
  <c r="BC274" i="5" s="1"/>
  <c r="AS237" i="5"/>
  <c r="BC237" i="5" s="1"/>
  <c r="BD237" i="5" s="1"/>
  <c r="AS147" i="5"/>
  <c r="BC147" i="5" s="1"/>
  <c r="AS346" i="5"/>
  <c r="BC346" i="5" s="1"/>
  <c r="AS475" i="5"/>
  <c r="BC475" i="5" s="1"/>
  <c r="AS30" i="5"/>
  <c r="BC30" i="5" s="1"/>
  <c r="AS203" i="5"/>
  <c r="BC203" i="5" s="1"/>
  <c r="AS107" i="5"/>
  <c r="BC107" i="5" s="1"/>
  <c r="AS457" i="5"/>
  <c r="BC457" i="5" s="1"/>
  <c r="AS419" i="5"/>
  <c r="BC419" i="5" s="1"/>
  <c r="AS517" i="5"/>
  <c r="BC517" i="5" s="1"/>
  <c r="AS420" i="5"/>
  <c r="BC420" i="5" s="1"/>
  <c r="AS248" i="5"/>
  <c r="BC248" i="5" s="1"/>
  <c r="AS544" i="5"/>
  <c r="BC544" i="5" s="1"/>
  <c r="AS213" i="5"/>
  <c r="BC213" i="5" s="1"/>
  <c r="AS330" i="5"/>
  <c r="BC330" i="5" s="1"/>
  <c r="AS374" i="5"/>
  <c r="BC374" i="5" s="1"/>
  <c r="AS229" i="5"/>
  <c r="BC229" i="5" s="1"/>
  <c r="AS411" i="5"/>
  <c r="BC411" i="5" s="1"/>
  <c r="AS72" i="5"/>
  <c r="BC72" i="5" s="1"/>
  <c r="AS297" i="5"/>
  <c r="BC297" i="5" s="1"/>
  <c r="AS61" i="5"/>
  <c r="BC61" i="5" s="1"/>
  <c r="BD61" i="5" s="1"/>
  <c r="AS413" i="5"/>
  <c r="BC413" i="5" s="1"/>
  <c r="AS277" i="5"/>
  <c r="BC277" i="5" s="1"/>
  <c r="AS44" i="5"/>
  <c r="BC44" i="5" s="1"/>
  <c r="BD44" i="5" s="1"/>
  <c r="AS270" i="5"/>
  <c r="BC270" i="5" s="1"/>
  <c r="AS95" i="5"/>
  <c r="BC95" i="5" s="1"/>
  <c r="AS482" i="5"/>
  <c r="BC482" i="5" s="1"/>
  <c r="AS529" i="5"/>
  <c r="BC529" i="5" s="1"/>
  <c r="AS151" i="5"/>
  <c r="BC151" i="5" s="1"/>
  <c r="AS67" i="5"/>
  <c r="BC67" i="5" s="1"/>
  <c r="AS167" i="5"/>
  <c r="BC167" i="5" s="1"/>
  <c r="AS375" i="5"/>
  <c r="BC375" i="5" s="1"/>
  <c r="AS314" i="5"/>
  <c r="BC314" i="5" s="1"/>
  <c r="AS300" i="5"/>
  <c r="BC300" i="5" s="1"/>
  <c r="BE300" i="5" s="1"/>
  <c r="AS166" i="5"/>
  <c r="BC166" i="5" s="1"/>
  <c r="BE166" i="5" s="1"/>
  <c r="AS76" i="5"/>
  <c r="BC76" i="5" s="1"/>
  <c r="AS41" i="5"/>
  <c r="BC41" i="5" s="1"/>
  <c r="BD41" i="5" s="1"/>
  <c r="AS347" i="5"/>
  <c r="BC347" i="5" s="1"/>
  <c r="AS325" i="5"/>
  <c r="BC325" i="5" s="1"/>
  <c r="AS137" i="5"/>
  <c r="BC137" i="5" s="1"/>
  <c r="AS189" i="5"/>
  <c r="BC189" i="5" s="1"/>
  <c r="AS352" i="5"/>
  <c r="BC352" i="5" s="1"/>
  <c r="BE352" i="5" s="1"/>
  <c r="AS295" i="5"/>
  <c r="BC295" i="5" s="1"/>
  <c r="AS244" i="5"/>
  <c r="BC244" i="5" s="1"/>
  <c r="AS474" i="5"/>
  <c r="BC474" i="5" s="1"/>
  <c r="AS119" i="5"/>
  <c r="BC119" i="5" s="1"/>
  <c r="BD119" i="5" s="1"/>
  <c r="AS338" i="5"/>
  <c r="BC338" i="5" s="1"/>
  <c r="BD338" i="5" s="1"/>
  <c r="AS239" i="5"/>
  <c r="BC239" i="5" s="1"/>
  <c r="AS89" i="5"/>
  <c r="BC89" i="5" s="1"/>
  <c r="AS260" i="5"/>
  <c r="BC260" i="5" s="1"/>
  <c r="AS278" i="5"/>
  <c r="BC278" i="5" s="1"/>
  <c r="BD278" i="5" s="1"/>
  <c r="AS232" i="5"/>
  <c r="BC232" i="5" s="1"/>
  <c r="AS52" i="5"/>
  <c r="BC52" i="5" s="1"/>
  <c r="AS77" i="5"/>
  <c r="BC77" i="5" s="1"/>
  <c r="AS249" i="5"/>
  <c r="BC249" i="5" s="1"/>
  <c r="AS288" i="5"/>
  <c r="BC288" i="5" s="1"/>
  <c r="AS186" i="5"/>
  <c r="BC186" i="5" s="1"/>
  <c r="AS130" i="5"/>
  <c r="BC130" i="5" s="1"/>
  <c r="BE130" i="5" s="1"/>
  <c r="AS49" i="5"/>
  <c r="BC49" i="5" s="1"/>
  <c r="AS385" i="5"/>
  <c r="BC385" i="5" s="1"/>
  <c r="AS480" i="5"/>
  <c r="BC480" i="5" s="1"/>
  <c r="AS316" i="5"/>
  <c r="BC316" i="5" s="1"/>
  <c r="BD316" i="5" s="1"/>
  <c r="AS87" i="5"/>
  <c r="BC87" i="5" s="1"/>
  <c r="AS465" i="5"/>
  <c r="BC465" i="5" s="1"/>
  <c r="AS363" i="5"/>
  <c r="BC363" i="5" s="1"/>
  <c r="AS424" i="5"/>
  <c r="BC424" i="5" s="1"/>
  <c r="AS281" i="5"/>
  <c r="BC281" i="5" s="1"/>
  <c r="AS537" i="5"/>
  <c r="BC537" i="5" s="1"/>
  <c r="BD537" i="5" s="1"/>
  <c r="AS275" i="5"/>
  <c r="BC275" i="5" s="1"/>
  <c r="AS372" i="5"/>
  <c r="BC372" i="5" s="1"/>
  <c r="AS129" i="5"/>
  <c r="BC129" i="5" s="1"/>
  <c r="AS427" i="5"/>
  <c r="BC427" i="5" s="1"/>
  <c r="AS108" i="5"/>
  <c r="BC108" i="5" s="1"/>
  <c r="AS421" i="5"/>
  <c r="BC421" i="5" s="1"/>
  <c r="AS543" i="5"/>
  <c r="BC543" i="5" s="1"/>
  <c r="BE543" i="5" s="1"/>
  <c r="AS7" i="5"/>
  <c r="BC7" i="5" s="1"/>
  <c r="BD7" i="5" s="1"/>
  <c r="AS555" i="5"/>
  <c r="BC555" i="5" s="1"/>
  <c r="BE555" i="5" s="1"/>
  <c r="AS509" i="5"/>
  <c r="BC509" i="5" s="1"/>
  <c r="AS491" i="5"/>
  <c r="BC491" i="5" s="1"/>
  <c r="AS440" i="5"/>
  <c r="BC440" i="5" s="1"/>
  <c r="AS94" i="5"/>
  <c r="BC94" i="5" s="1"/>
  <c r="BD94" i="5" s="1"/>
  <c r="AS437" i="5"/>
  <c r="BC437" i="5" s="1"/>
  <c r="AS285" i="5"/>
  <c r="BC285" i="5" s="1"/>
  <c r="AS545" i="5"/>
  <c r="BC545" i="5" s="1"/>
  <c r="AS549" i="5"/>
  <c r="BC549" i="5" s="1"/>
  <c r="BE549" i="5" s="1"/>
  <c r="AS136" i="5"/>
  <c r="BC136" i="5" s="1"/>
  <c r="AS296" i="5"/>
  <c r="BC296" i="5" s="1"/>
  <c r="BD296" i="5" s="1"/>
  <c r="AS262" i="5"/>
  <c r="BC262" i="5" s="1"/>
  <c r="BE262" i="5" s="1"/>
  <c r="AS245" i="5"/>
  <c r="BC245" i="5" s="1"/>
  <c r="BD245" i="5" s="1"/>
  <c r="AS289" i="5"/>
  <c r="BC289" i="5" s="1"/>
  <c r="AS280" i="5"/>
  <c r="BC280" i="5" s="1"/>
  <c r="AS59" i="5"/>
  <c r="BC59" i="5" s="1"/>
  <c r="BE59" i="5" s="1"/>
  <c r="AS190" i="5"/>
  <c r="BC190" i="5" s="1"/>
  <c r="AS559" i="5"/>
  <c r="BC559" i="5" s="1"/>
  <c r="AS226" i="5"/>
  <c r="BC226" i="5" s="1"/>
  <c r="AS309" i="5"/>
  <c r="BC309" i="5" s="1"/>
  <c r="AS185" i="5"/>
  <c r="BC185" i="5" s="1"/>
  <c r="AS379" i="5"/>
  <c r="BC379" i="5" s="1"/>
  <c r="AS242" i="5"/>
  <c r="BC242" i="5" s="1"/>
  <c r="AS553" i="5"/>
  <c r="BC553" i="5" s="1"/>
  <c r="AS362" i="5"/>
  <c r="BC362" i="5" s="1"/>
  <c r="AS150" i="5"/>
  <c r="BC150" i="5" s="1"/>
  <c r="AS525" i="5"/>
  <c r="BC525" i="5" s="1"/>
  <c r="AS345" i="5"/>
  <c r="BC345" i="5" s="1"/>
  <c r="AS92" i="5"/>
  <c r="BC92" i="5" s="1"/>
  <c r="AS298" i="5"/>
  <c r="BC298" i="5" s="1"/>
  <c r="AS191" i="5"/>
  <c r="BC191" i="5" s="1"/>
  <c r="BE191" i="5" s="1"/>
  <c r="AS462" i="5"/>
  <c r="BC462" i="5" s="1"/>
  <c r="BD462" i="5" s="1"/>
  <c r="AS432" i="5"/>
  <c r="BC432" i="5" s="1"/>
  <c r="AS412" i="5"/>
  <c r="BC412" i="5" s="1"/>
  <c r="AS521" i="5"/>
  <c r="BC521" i="5" s="1"/>
  <c r="BD521" i="5" s="1"/>
  <c r="AS353" i="5"/>
  <c r="BC353" i="5" s="1"/>
  <c r="AS401" i="5"/>
  <c r="BC401" i="5" s="1"/>
  <c r="AS90" i="5"/>
  <c r="BC90" i="5" s="1"/>
  <c r="AS453" i="5"/>
  <c r="BC453" i="5" s="1"/>
  <c r="BD453" i="5" s="1"/>
  <c r="AS450" i="5"/>
  <c r="BC450" i="5" s="1"/>
  <c r="AS360" i="5"/>
  <c r="BC360" i="5" s="1"/>
  <c r="AS344" i="5"/>
  <c r="BC344" i="5" s="1"/>
  <c r="BE344" i="5" s="1"/>
  <c r="AS392" i="5"/>
  <c r="BC392" i="5" s="1"/>
  <c r="AS251" i="5"/>
  <c r="BC251" i="5" s="1"/>
  <c r="AS510" i="5"/>
  <c r="BC510" i="5" s="1"/>
  <c r="AS560" i="5"/>
  <c r="BC560" i="5" s="1"/>
  <c r="BE560" i="5" s="1"/>
  <c r="AS536" i="5"/>
  <c r="BC536" i="5" s="1"/>
  <c r="BD536" i="5" s="1"/>
  <c r="AS476" i="5"/>
  <c r="BC476" i="5" s="1"/>
  <c r="AS477" i="5"/>
  <c r="BC477" i="5" s="1"/>
  <c r="AS503" i="5"/>
  <c r="BC503" i="5" s="1"/>
  <c r="AS469" i="5"/>
  <c r="BC469" i="5" s="1"/>
  <c r="BD469" i="5" s="1"/>
  <c r="AS10" i="5"/>
  <c r="AS70" i="5"/>
  <c r="BC70" i="5" s="1"/>
  <c r="BD70" i="5" s="1"/>
  <c r="AS209" i="5"/>
  <c r="BC209" i="5" s="1"/>
  <c r="AS400" i="5"/>
  <c r="BC400" i="5" s="1"/>
  <c r="AS233" i="5"/>
  <c r="BC233" i="5" s="1"/>
  <c r="AS415" i="5"/>
  <c r="BC415" i="5" s="1"/>
  <c r="AS80" i="5"/>
  <c r="BC80" i="5" s="1"/>
  <c r="AS294" i="5"/>
  <c r="BC294" i="5" s="1"/>
  <c r="AS73" i="5"/>
  <c r="BC73" i="5" s="1"/>
  <c r="AS113" i="5"/>
  <c r="BC113" i="5" s="1"/>
  <c r="BD113" i="5" s="1"/>
  <c r="AS533" i="5"/>
  <c r="BC533" i="5" s="1"/>
  <c r="BD533" i="5" s="1"/>
  <c r="AS478" i="5"/>
  <c r="BC478" i="5" s="1"/>
  <c r="AS9" i="5"/>
  <c r="AS218" i="5"/>
  <c r="BC218" i="5" s="1"/>
  <c r="AS132" i="5"/>
  <c r="BC132" i="5" s="1"/>
  <c r="AS557" i="5"/>
  <c r="BC557" i="5" s="1"/>
  <c r="AS293" i="5"/>
  <c r="BC293" i="5" s="1"/>
  <c r="AS501" i="5"/>
  <c r="BC501" i="5" s="1"/>
  <c r="AS126" i="5"/>
  <c r="BC126" i="5" s="1"/>
  <c r="AS499" i="5"/>
  <c r="BC499" i="5" s="1"/>
  <c r="AS541" i="5"/>
  <c r="BC541" i="5" s="1"/>
  <c r="AS481" i="5"/>
  <c r="BC481" i="5" s="1"/>
  <c r="BD481" i="5" s="1"/>
  <c r="AS236" i="5"/>
  <c r="BC236" i="5" s="1"/>
  <c r="BD236" i="5" s="1"/>
  <c r="AS554" i="5"/>
  <c r="BC554" i="5" s="1"/>
  <c r="AS286" i="5"/>
  <c r="BC286" i="5" s="1"/>
  <c r="AS273" i="5"/>
  <c r="BC273" i="5" s="1"/>
  <c r="AS487" i="5"/>
  <c r="BC487" i="5" s="1"/>
  <c r="AS470" i="5"/>
  <c r="BC470" i="5" s="1"/>
  <c r="BE470" i="5" s="1"/>
  <c r="AS68" i="5"/>
  <c r="BC68" i="5" s="1"/>
  <c r="AS221" i="5"/>
  <c r="BC221" i="5" s="1"/>
  <c r="BE221" i="5" s="1"/>
  <c r="AS317" i="5"/>
  <c r="BC317" i="5" s="1"/>
  <c r="AS8" i="5"/>
  <c r="BC8" i="5" s="1"/>
  <c r="BD8" i="5" s="1"/>
  <c r="AS329" i="5"/>
  <c r="BC329" i="5" s="1"/>
  <c r="BE329" i="5" s="1"/>
  <c r="AS447" i="5"/>
  <c r="BC447" i="5" s="1"/>
  <c r="AS351" i="5"/>
  <c r="BC351" i="5" s="1"/>
  <c r="AS532" i="5"/>
  <c r="BC532" i="5" s="1"/>
  <c r="AS546" i="5"/>
  <c r="BC546" i="5" s="1"/>
  <c r="AS414" i="5"/>
  <c r="BC414" i="5" s="1"/>
  <c r="AS387" i="5"/>
  <c r="BC387" i="5" s="1"/>
  <c r="AS318" i="5"/>
  <c r="BC318" i="5" s="1"/>
  <c r="AS272" i="5"/>
  <c r="BC272" i="5" s="1"/>
  <c r="AS523" i="5"/>
  <c r="BC523" i="5" s="1"/>
  <c r="AS188" i="5"/>
  <c r="BC188" i="5" s="1"/>
  <c r="BE188" i="5" s="1"/>
  <c r="AS495" i="5"/>
  <c r="BC495" i="5" s="1"/>
  <c r="BE495" i="5" s="1"/>
  <c r="AS276" i="5"/>
  <c r="BC276" i="5" s="1"/>
  <c r="AS356" i="5"/>
  <c r="BC356" i="5" s="1"/>
  <c r="BD356" i="5" s="1"/>
  <c r="AS243" i="5"/>
  <c r="BC243" i="5" s="1"/>
  <c r="AS261" i="5"/>
  <c r="BC261" i="5" s="1"/>
  <c r="AS19" i="5"/>
  <c r="BC19" i="5" s="1"/>
  <c r="BB552" i="5"/>
  <c r="BA552" i="5"/>
  <c r="BB539" i="5"/>
  <c r="BA539" i="5"/>
  <c r="BA514" i="5"/>
  <c r="BB514" i="5"/>
  <c r="BA273" i="5"/>
  <c r="BB273" i="5"/>
  <c r="BB376" i="5"/>
  <c r="BA376" i="5"/>
  <c r="BA90" i="5"/>
  <c r="BB90" i="5"/>
  <c r="BB456" i="5"/>
  <c r="BA456" i="5"/>
  <c r="BA498" i="5"/>
  <c r="BB498" i="5"/>
  <c r="BA349" i="5"/>
  <c r="BB349" i="5"/>
  <c r="BA258" i="5"/>
  <c r="BB258" i="5"/>
  <c r="BB155" i="5"/>
  <c r="BA155" i="5"/>
  <c r="BA534" i="5"/>
  <c r="BB534" i="5"/>
  <c r="BA519" i="5"/>
  <c r="BB519" i="5"/>
  <c r="BA379" i="5"/>
  <c r="BB379" i="5"/>
  <c r="BA385" i="5"/>
  <c r="BB385" i="5"/>
  <c r="BB170" i="5"/>
  <c r="BA170" i="5"/>
  <c r="BB513" i="5"/>
  <c r="BA513" i="5"/>
  <c r="BB441" i="5"/>
  <c r="BA441" i="5"/>
  <c r="BA204" i="5"/>
  <c r="BB204" i="5"/>
  <c r="BA535" i="5"/>
  <c r="BB535" i="5"/>
  <c r="BA445" i="5"/>
  <c r="BB445" i="5"/>
  <c r="BA485" i="5"/>
  <c r="BB485" i="5"/>
  <c r="BA520" i="5"/>
  <c r="BB520" i="5"/>
  <c r="BB487" i="5"/>
  <c r="BA487" i="5"/>
  <c r="BB434" i="5"/>
  <c r="BA434" i="5"/>
  <c r="BA506" i="5"/>
  <c r="BB506" i="5"/>
  <c r="BA427" i="5"/>
  <c r="BB427" i="5"/>
  <c r="BB497" i="5"/>
  <c r="BA497" i="5"/>
  <c r="BA362" i="5"/>
  <c r="BB362" i="5"/>
  <c r="BB355" i="5"/>
  <c r="BA355" i="5"/>
  <c r="BA209" i="5"/>
  <c r="BB209" i="5"/>
  <c r="BB370" i="5"/>
  <c r="BA370" i="5"/>
  <c r="BA436" i="5"/>
  <c r="BB436" i="5"/>
  <c r="BB319" i="5"/>
  <c r="BA319" i="5"/>
  <c r="BB272" i="5"/>
  <c r="BA272" i="5"/>
  <c r="BB182" i="5"/>
  <c r="BA182" i="5"/>
  <c r="BB124" i="5"/>
  <c r="BA124" i="5"/>
  <c r="BA79" i="5"/>
  <c r="BB79" i="5"/>
  <c r="BB537" i="5"/>
  <c r="BA537" i="5"/>
  <c r="BA481" i="5"/>
  <c r="BB481" i="5"/>
  <c r="BA557" i="5"/>
  <c r="BB557" i="5"/>
  <c r="BA328" i="5"/>
  <c r="BB328" i="5"/>
  <c r="BB505" i="5"/>
  <c r="BA505" i="5"/>
  <c r="BB473" i="5"/>
  <c r="BA473" i="5"/>
  <c r="BA387" i="5"/>
  <c r="BB387" i="5"/>
  <c r="BB474" i="5"/>
  <c r="BA474" i="5"/>
  <c r="BB394" i="5"/>
  <c r="BA394" i="5"/>
  <c r="BA472" i="5"/>
  <c r="BB472" i="5"/>
  <c r="BB406" i="5"/>
  <c r="BA406" i="5"/>
  <c r="BB340" i="5"/>
  <c r="BA340" i="5"/>
  <c r="BA408" i="5"/>
  <c r="BB408" i="5"/>
  <c r="BA356" i="5"/>
  <c r="BB356" i="5"/>
  <c r="BA420" i="5"/>
  <c r="BB420" i="5"/>
  <c r="BA343" i="5"/>
  <c r="BB343" i="5"/>
  <c r="BB281" i="5"/>
  <c r="BA281" i="5"/>
  <c r="BB203" i="5"/>
  <c r="BA203" i="5"/>
  <c r="BA106" i="5"/>
  <c r="BB106" i="5"/>
  <c r="BA28" i="5"/>
  <c r="BB28" i="5"/>
  <c r="BB542" i="5"/>
  <c r="BA542" i="5"/>
  <c r="BB524" i="5"/>
  <c r="BA524" i="5"/>
  <c r="BB517" i="5"/>
  <c r="BA517" i="5"/>
  <c r="BB523" i="5"/>
  <c r="BA523" i="5"/>
  <c r="BB489" i="5"/>
  <c r="BA489" i="5"/>
  <c r="BB443" i="5"/>
  <c r="BA443" i="5"/>
  <c r="BA511" i="5"/>
  <c r="BB511" i="5"/>
  <c r="BA439" i="5"/>
  <c r="BB439" i="5"/>
  <c r="BA515" i="5"/>
  <c r="BB515" i="5"/>
  <c r="BA401" i="5"/>
  <c r="BB401" i="5"/>
  <c r="BB366" i="5"/>
  <c r="BA366" i="5"/>
  <c r="BA254" i="5"/>
  <c r="BB254" i="5"/>
  <c r="BA377" i="5"/>
  <c r="BB377" i="5"/>
  <c r="BA250" i="5"/>
  <c r="BB250" i="5"/>
  <c r="BB360" i="5"/>
  <c r="BA360" i="5"/>
  <c r="BB321" i="5"/>
  <c r="BA321" i="5"/>
  <c r="BA217" i="5"/>
  <c r="BB217" i="5"/>
  <c r="BA104" i="5"/>
  <c r="BB104" i="5"/>
  <c r="BB77" i="5"/>
  <c r="BA77" i="5"/>
  <c r="BA19" i="5"/>
  <c r="BB19" i="5"/>
  <c r="BB501" i="5"/>
  <c r="BA501" i="5"/>
  <c r="BA558" i="5"/>
  <c r="BB558" i="5"/>
  <c r="BB425" i="5"/>
  <c r="BA425" i="5"/>
  <c r="BB509" i="5"/>
  <c r="BA509" i="5"/>
  <c r="BB479" i="5"/>
  <c r="BA479" i="5"/>
  <c r="BA405" i="5"/>
  <c r="BB405" i="5"/>
  <c r="BB480" i="5"/>
  <c r="BA480" i="5"/>
  <c r="BA403" i="5"/>
  <c r="BB403" i="5"/>
  <c r="BA478" i="5"/>
  <c r="BB478" i="5"/>
  <c r="BB416" i="5"/>
  <c r="BA416" i="5"/>
  <c r="BA342" i="5"/>
  <c r="BB342" i="5"/>
  <c r="BB417" i="5"/>
  <c r="BA417" i="5"/>
  <c r="BB361" i="5"/>
  <c r="BA361" i="5"/>
  <c r="BA428" i="5"/>
  <c r="BB428" i="5"/>
  <c r="BA358" i="5"/>
  <c r="BB358" i="5"/>
  <c r="BB307" i="5"/>
  <c r="BA307" i="5"/>
  <c r="BA205" i="5"/>
  <c r="BB205" i="5"/>
  <c r="BB128" i="5"/>
  <c r="BA128" i="5"/>
  <c r="BB58" i="5"/>
  <c r="BA58" i="5"/>
  <c r="BA543" i="5"/>
  <c r="BB543" i="5"/>
  <c r="BA493" i="5"/>
  <c r="BB493" i="5"/>
  <c r="BB447" i="5"/>
  <c r="BA447" i="5"/>
  <c r="BA442" i="5"/>
  <c r="BB442" i="5"/>
  <c r="BA260" i="5"/>
  <c r="BB260" i="5"/>
  <c r="BA244" i="5"/>
  <c r="BB244" i="5"/>
  <c r="BA36" i="5"/>
  <c r="BB36" i="5"/>
  <c r="BA437" i="5"/>
  <c r="BB437" i="5"/>
  <c r="BB486" i="5"/>
  <c r="BA486" i="5"/>
  <c r="BB426" i="5"/>
  <c r="BA426" i="5"/>
  <c r="BA354" i="5"/>
  <c r="BB354" i="5"/>
  <c r="BA365" i="5"/>
  <c r="BB365" i="5"/>
  <c r="BB253" i="5"/>
  <c r="BA253" i="5"/>
  <c r="BA49" i="5"/>
  <c r="BB49" i="5"/>
  <c r="BA549" i="5"/>
  <c r="BB549" i="5"/>
  <c r="BA495" i="5"/>
  <c r="BB495" i="5"/>
  <c r="BB462" i="5"/>
  <c r="BA462" i="5"/>
  <c r="BB457" i="5"/>
  <c r="BA457" i="5"/>
  <c r="BA389" i="5"/>
  <c r="BB389" i="5"/>
  <c r="BA275" i="5"/>
  <c r="BB275" i="5"/>
  <c r="BB102" i="5"/>
  <c r="BA102" i="5"/>
  <c r="BB541" i="5"/>
  <c r="BA541" i="5"/>
  <c r="BA522" i="5"/>
  <c r="BB522" i="5"/>
  <c r="BA507" i="5"/>
  <c r="BB507" i="5"/>
  <c r="BB504" i="5"/>
  <c r="BA504" i="5"/>
  <c r="BA364" i="5"/>
  <c r="BB364" i="5"/>
  <c r="BB375" i="5"/>
  <c r="BA375" i="5"/>
  <c r="BB294" i="5"/>
  <c r="BA294" i="5"/>
  <c r="BB142" i="5"/>
  <c r="BA142" i="5"/>
  <c r="BA546" i="5"/>
  <c r="BB546" i="5"/>
  <c r="BB491" i="5"/>
  <c r="BA491" i="5"/>
  <c r="BA560" i="5"/>
  <c r="BB560" i="5"/>
  <c r="BA421" i="5"/>
  <c r="BB421" i="5"/>
  <c r="BA508" i="5"/>
  <c r="BB508" i="5"/>
  <c r="BB476" i="5"/>
  <c r="BA476" i="5"/>
  <c r="BA396" i="5"/>
  <c r="BB396" i="5"/>
  <c r="BB477" i="5"/>
  <c r="BA477" i="5"/>
  <c r="BA397" i="5"/>
  <c r="BB397" i="5"/>
  <c r="BA475" i="5"/>
  <c r="BB475" i="5"/>
  <c r="BA415" i="5"/>
  <c r="BB415" i="5"/>
  <c r="BA341" i="5"/>
  <c r="BB341" i="5"/>
  <c r="BB413" i="5"/>
  <c r="BA413" i="5"/>
  <c r="BA359" i="5"/>
  <c r="BB359" i="5"/>
  <c r="BB423" i="5"/>
  <c r="BA423" i="5"/>
  <c r="BA357" i="5"/>
  <c r="BB357" i="5"/>
  <c r="BB291" i="5"/>
  <c r="BA291" i="5"/>
  <c r="BB165" i="5"/>
  <c r="BA165" i="5"/>
  <c r="BA120" i="5"/>
  <c r="BB120" i="5"/>
  <c r="BA63" i="5"/>
  <c r="BB63" i="5"/>
  <c r="BB438" i="5"/>
  <c r="BA438" i="5"/>
  <c r="BA550" i="5"/>
  <c r="BB550" i="5"/>
  <c r="BA536" i="5"/>
  <c r="BB536" i="5"/>
  <c r="BA555" i="5"/>
  <c r="BB555" i="5"/>
  <c r="BB499" i="5"/>
  <c r="BA499" i="5"/>
  <c r="BA455" i="5"/>
  <c r="BB455" i="5"/>
  <c r="BB308" i="5"/>
  <c r="BA308" i="5"/>
  <c r="BA465" i="5"/>
  <c r="BB465" i="5"/>
  <c r="BB270" i="5"/>
  <c r="BA270" i="5"/>
  <c r="BA458" i="5"/>
  <c r="BB458" i="5"/>
  <c r="BB388" i="5"/>
  <c r="BA388" i="5"/>
  <c r="BA289" i="5"/>
  <c r="BB289" i="5"/>
  <c r="BB390" i="5"/>
  <c r="BA390" i="5"/>
  <c r="BA304" i="5"/>
  <c r="BB304" i="5"/>
  <c r="BB404" i="5"/>
  <c r="BA404" i="5"/>
  <c r="BB301" i="5"/>
  <c r="BA301" i="5"/>
  <c r="BB239" i="5"/>
  <c r="BA239" i="5"/>
  <c r="BB185" i="5"/>
  <c r="BA185" i="5"/>
  <c r="BA87" i="5"/>
  <c r="BB87" i="5"/>
  <c r="BA33" i="5"/>
  <c r="BB33" i="5"/>
  <c r="BA528" i="5"/>
  <c r="BB528" i="5"/>
  <c r="BB433" i="5"/>
  <c r="BA433" i="5"/>
  <c r="BB449" i="5"/>
  <c r="BA449" i="5"/>
  <c r="BB510" i="5"/>
  <c r="BA510" i="5"/>
  <c r="BA482" i="5"/>
  <c r="BB482" i="5"/>
  <c r="BB430" i="5"/>
  <c r="BA430" i="5"/>
  <c r="BB484" i="5"/>
  <c r="BA484" i="5"/>
  <c r="BB412" i="5"/>
  <c r="BA412" i="5"/>
  <c r="BA490" i="5"/>
  <c r="BB490" i="5"/>
  <c r="BA311" i="5"/>
  <c r="BB311" i="5"/>
  <c r="BB348" i="5"/>
  <c r="BA348" i="5"/>
  <c r="BB418" i="5"/>
  <c r="BA418" i="5"/>
  <c r="BA363" i="5"/>
  <c r="BB363" i="5"/>
  <c r="BA431" i="5"/>
  <c r="BB431" i="5"/>
  <c r="BB224" i="5"/>
  <c r="BA224" i="5"/>
  <c r="BB327" i="5"/>
  <c r="BA327" i="5"/>
  <c r="BA216" i="5"/>
  <c r="BB216" i="5"/>
  <c r="BA146" i="5"/>
  <c r="BB146" i="5"/>
  <c r="BA57" i="5"/>
  <c r="BB57" i="5"/>
  <c r="BB464" i="5"/>
  <c r="BA464" i="5"/>
  <c r="BA407" i="5"/>
  <c r="BB407" i="5"/>
  <c r="BB548" i="5"/>
  <c r="BA548" i="5"/>
  <c r="BA229" i="5"/>
  <c r="BB229" i="5"/>
  <c r="BB502" i="5"/>
  <c r="BA502" i="5"/>
  <c r="BA466" i="5"/>
  <c r="BB466" i="5"/>
  <c r="BB353" i="5"/>
  <c r="BA353" i="5"/>
  <c r="BB468" i="5"/>
  <c r="BA468" i="5"/>
  <c r="BA382" i="5"/>
  <c r="BB382" i="5"/>
  <c r="BB460" i="5"/>
  <c r="BA460" i="5"/>
  <c r="BB398" i="5"/>
  <c r="BA398" i="5"/>
  <c r="BB333" i="5"/>
  <c r="BA333" i="5"/>
  <c r="BA399" i="5"/>
  <c r="BB399" i="5"/>
  <c r="BB345" i="5"/>
  <c r="BA345" i="5"/>
  <c r="BA410" i="5"/>
  <c r="BB410" i="5"/>
  <c r="BA320" i="5"/>
  <c r="BB320" i="5"/>
  <c r="BB259" i="5"/>
  <c r="BA259" i="5"/>
  <c r="BB162" i="5"/>
  <c r="BA162" i="5"/>
  <c r="BB129" i="5"/>
  <c r="BA129" i="5"/>
  <c r="BB42" i="5"/>
  <c r="BA42" i="5"/>
  <c r="BA527" i="5"/>
  <c r="BB527" i="5"/>
  <c r="BA451" i="5"/>
  <c r="BB451" i="5"/>
  <c r="BA526" i="5"/>
  <c r="BB526" i="5"/>
  <c r="BA374" i="5"/>
  <c r="BB374" i="5"/>
  <c r="BA384" i="5"/>
  <c r="BB384" i="5"/>
  <c r="BA248" i="5"/>
  <c r="BB248" i="5"/>
  <c r="BB181" i="5"/>
  <c r="BA181" i="5"/>
  <c r="BA533" i="5"/>
  <c r="BB533" i="5"/>
  <c r="BB518" i="5"/>
  <c r="BA518" i="5"/>
  <c r="BB432" i="5"/>
  <c r="BA432" i="5"/>
  <c r="BA496" i="5"/>
  <c r="BB496" i="5"/>
  <c r="BB419" i="5"/>
  <c r="BA419" i="5"/>
  <c r="BA435" i="5"/>
  <c r="BB435" i="5"/>
  <c r="BB233" i="5"/>
  <c r="BA233" i="5"/>
  <c r="BA372" i="5"/>
  <c r="BB372" i="5"/>
  <c r="BB554" i="5"/>
  <c r="BA554" i="5"/>
  <c r="BB454" i="5"/>
  <c r="BA454" i="5"/>
  <c r="BB532" i="5"/>
  <c r="BA532" i="5"/>
  <c r="BB286" i="5"/>
  <c r="BA286" i="5"/>
  <c r="BA293" i="5"/>
  <c r="BB293" i="5"/>
  <c r="BB215" i="5"/>
  <c r="BA215" i="5"/>
  <c r="BA37" i="5"/>
  <c r="BB37" i="5"/>
  <c r="BB448" i="5"/>
  <c r="BA448" i="5"/>
  <c r="BB488" i="5"/>
  <c r="BA488" i="5"/>
  <c r="BB429" i="5"/>
  <c r="BA429" i="5"/>
  <c r="BA368" i="5"/>
  <c r="BB368" i="5"/>
  <c r="BA245" i="5"/>
  <c r="BB245" i="5"/>
  <c r="BB440" i="5"/>
  <c r="BA440" i="5"/>
  <c r="BB335" i="5"/>
  <c r="BA335" i="5"/>
  <c r="BA62" i="5"/>
  <c r="BB62" i="5"/>
  <c r="BB450" i="5"/>
  <c r="BA450" i="5"/>
  <c r="BB551" i="5"/>
  <c r="BA551" i="5"/>
  <c r="BB540" i="5"/>
  <c r="BA540" i="5"/>
  <c r="BB556" i="5"/>
  <c r="BA556" i="5"/>
  <c r="BB500" i="5"/>
  <c r="BA500" i="5"/>
  <c r="BB463" i="5"/>
  <c r="BA463" i="5"/>
  <c r="BB347" i="5"/>
  <c r="BA347" i="5"/>
  <c r="BB467" i="5"/>
  <c r="BA467" i="5"/>
  <c r="BA325" i="5"/>
  <c r="BB325" i="5"/>
  <c r="BB459" i="5"/>
  <c r="BA459" i="5"/>
  <c r="BB395" i="5"/>
  <c r="BA395" i="5"/>
  <c r="BA292" i="5"/>
  <c r="BB292" i="5"/>
  <c r="BA392" i="5"/>
  <c r="BB392" i="5"/>
  <c r="BA334" i="5"/>
  <c r="BB334" i="5"/>
  <c r="BB409" i="5"/>
  <c r="BA409" i="5"/>
  <c r="BB310" i="5"/>
  <c r="BA310" i="5"/>
  <c r="BA193" i="5"/>
  <c r="BB193" i="5"/>
  <c r="BB143" i="5"/>
  <c r="BA143" i="5"/>
  <c r="BA99" i="5"/>
  <c r="BB99" i="5"/>
  <c r="BA46" i="5"/>
  <c r="BB46" i="5"/>
  <c r="BA547" i="5"/>
  <c r="BB547" i="5"/>
  <c r="BB538" i="5"/>
  <c r="BA538" i="5"/>
  <c r="BA521" i="5"/>
  <c r="BB521" i="5"/>
  <c r="BB530" i="5"/>
  <c r="BA530" i="5"/>
  <c r="BA492" i="5"/>
  <c r="BB492" i="5"/>
  <c r="BB444" i="5"/>
  <c r="BA444" i="5"/>
  <c r="BA512" i="5"/>
  <c r="BB512" i="5"/>
  <c r="BA446" i="5"/>
  <c r="BB446" i="5"/>
  <c r="BB525" i="5"/>
  <c r="BA525" i="5"/>
  <c r="BA422" i="5"/>
  <c r="BB422" i="5"/>
  <c r="BA371" i="5"/>
  <c r="BB371" i="5"/>
  <c r="BB267" i="5"/>
  <c r="BA267" i="5"/>
  <c r="BB380" i="5"/>
  <c r="BA380" i="5"/>
  <c r="BB252" i="5"/>
  <c r="BA252" i="5"/>
  <c r="BB367" i="5"/>
  <c r="BA367" i="5"/>
  <c r="BB192" i="5"/>
  <c r="BA192" i="5"/>
  <c r="BB228" i="5"/>
  <c r="BA228" i="5"/>
  <c r="BA167" i="5"/>
  <c r="BB167" i="5"/>
  <c r="BB93" i="5"/>
  <c r="BA93" i="5"/>
  <c r="BB483" i="5"/>
  <c r="BA483" i="5"/>
  <c r="BA424" i="5"/>
  <c r="BB424" i="5"/>
  <c r="BB553" i="5"/>
  <c r="BA553" i="5"/>
  <c r="BA297" i="5"/>
  <c r="BB297" i="5"/>
  <c r="BA503" i="5"/>
  <c r="BB503" i="5"/>
  <c r="BB469" i="5"/>
  <c r="BA469" i="5"/>
  <c r="BB381" i="5"/>
  <c r="BA381" i="5"/>
  <c r="BA470" i="5"/>
  <c r="BB470" i="5"/>
  <c r="BB391" i="5"/>
  <c r="BA391" i="5"/>
  <c r="BB471" i="5"/>
  <c r="BA471" i="5"/>
  <c r="BB400" i="5"/>
  <c r="BA400" i="5"/>
  <c r="BA336" i="5"/>
  <c r="BB336" i="5"/>
  <c r="BB402" i="5"/>
  <c r="BA402" i="5"/>
  <c r="BA350" i="5"/>
  <c r="BB350" i="5"/>
  <c r="BB414" i="5"/>
  <c r="BA414" i="5"/>
  <c r="BB330" i="5"/>
  <c r="BA330" i="5"/>
  <c r="BA271" i="5"/>
  <c r="BB271" i="5"/>
  <c r="BA187" i="5"/>
  <c r="BB187" i="5"/>
  <c r="BB151" i="5"/>
  <c r="BA151" i="5"/>
  <c r="BA67" i="5"/>
  <c r="BB67" i="5"/>
  <c r="BB559" i="5"/>
  <c r="BA559" i="5"/>
  <c r="BB544" i="5"/>
  <c r="BA544" i="5"/>
  <c r="BB529" i="5"/>
  <c r="BA529" i="5"/>
  <c r="BA545" i="5"/>
  <c r="BB545" i="5"/>
  <c r="BB494" i="5"/>
  <c r="BA494" i="5"/>
  <c r="BB453" i="5"/>
  <c r="BA453" i="5"/>
  <c r="BB516" i="5"/>
  <c r="BA516" i="5"/>
  <c r="BA461" i="5"/>
  <c r="BB461" i="5"/>
  <c r="BB531" i="5"/>
  <c r="BA531" i="5"/>
  <c r="BA452" i="5"/>
  <c r="BB452" i="5"/>
  <c r="BA378" i="5"/>
  <c r="BB378" i="5"/>
  <c r="BB280" i="5"/>
  <c r="BA280" i="5"/>
  <c r="BA386" i="5"/>
  <c r="BB386" i="5"/>
  <c r="BB277" i="5"/>
  <c r="BA277" i="5"/>
  <c r="BB383" i="5"/>
  <c r="BA383" i="5"/>
  <c r="BA257" i="5"/>
  <c r="BB257" i="5"/>
  <c r="BA186" i="5"/>
  <c r="BB186" i="5"/>
  <c r="BB153" i="5"/>
  <c r="BA153" i="5"/>
  <c r="BA96" i="5"/>
  <c r="BB96" i="5"/>
  <c r="BA25" i="5"/>
  <c r="BB25" i="5"/>
  <c r="AY364" i="5"/>
  <c r="AX364" i="5"/>
  <c r="AY511" i="5"/>
  <c r="AX511" i="5"/>
  <c r="AY438" i="5"/>
  <c r="AX438" i="5"/>
  <c r="AY530" i="5"/>
  <c r="AX530" i="5"/>
  <c r="AY514" i="5"/>
  <c r="AX514" i="5"/>
  <c r="AX558" i="5"/>
  <c r="AY558" i="5"/>
  <c r="AX510" i="5"/>
  <c r="AY510" i="5"/>
  <c r="AY523" i="5"/>
  <c r="AX523" i="5"/>
  <c r="AX303" i="5"/>
  <c r="AY303" i="5"/>
  <c r="AY447" i="5"/>
  <c r="AX447" i="5"/>
  <c r="AY421" i="5"/>
  <c r="AX421" i="5"/>
  <c r="BC454" i="5"/>
  <c r="AX454" i="5"/>
  <c r="AY454" i="5"/>
  <c r="AX403" i="5"/>
  <c r="AY403" i="5"/>
  <c r="AX497" i="5"/>
  <c r="AY497" i="5"/>
  <c r="BC497" i="5"/>
  <c r="AY547" i="5"/>
  <c r="AX547" i="5"/>
  <c r="AX417" i="5"/>
  <c r="AY417" i="5"/>
  <c r="AY512" i="5"/>
  <c r="AX512" i="5"/>
  <c r="AX264" i="5"/>
  <c r="AY264" i="5"/>
  <c r="AX344" i="5"/>
  <c r="AY344" i="5"/>
  <c r="AX267" i="5"/>
  <c r="AY267" i="5"/>
  <c r="AX232" i="5"/>
  <c r="AY232" i="5"/>
  <c r="AX142" i="5"/>
  <c r="AY142" i="5"/>
  <c r="AX86" i="5"/>
  <c r="AY86" i="5"/>
  <c r="AX94" i="5"/>
  <c r="AY94" i="5"/>
  <c r="AX27" i="5"/>
  <c r="AY27" i="5"/>
  <c r="AX389" i="5"/>
  <c r="AY389" i="5"/>
  <c r="AY260" i="5"/>
  <c r="AX260" i="5"/>
  <c r="AX284" i="5"/>
  <c r="AY284" i="5"/>
  <c r="AX175" i="5"/>
  <c r="AY175" i="5"/>
  <c r="AY151" i="5"/>
  <c r="AX151" i="5"/>
  <c r="AY103" i="5"/>
  <c r="AX103" i="5"/>
  <c r="AY66" i="5"/>
  <c r="AX66" i="5"/>
  <c r="AY384" i="5"/>
  <c r="AX384" i="5"/>
  <c r="AY316" i="5"/>
  <c r="AX316" i="5"/>
  <c r="AY230" i="5"/>
  <c r="AX230" i="5"/>
  <c r="AX172" i="5"/>
  <c r="AY172" i="5"/>
  <c r="AY173" i="5"/>
  <c r="AX173" i="5"/>
  <c r="AX64" i="5"/>
  <c r="AY64" i="5"/>
  <c r="AY97" i="5"/>
  <c r="AX97" i="5"/>
  <c r="AX60" i="5"/>
  <c r="AY60" i="5"/>
  <c r="AY61" i="5"/>
  <c r="AX61" i="5"/>
  <c r="AY21" i="5"/>
  <c r="AX21" i="5"/>
  <c r="AY22" i="5"/>
  <c r="AX22" i="5"/>
  <c r="AY427" i="5"/>
  <c r="AX427" i="5"/>
  <c r="AX370" i="5"/>
  <c r="AY370" i="5"/>
  <c r="AY297" i="5"/>
  <c r="AX297" i="5"/>
  <c r="AX280" i="5"/>
  <c r="AY280" i="5"/>
  <c r="AY329" i="5"/>
  <c r="AX329" i="5"/>
  <c r="AX253" i="5"/>
  <c r="AY253" i="5"/>
  <c r="AY216" i="5"/>
  <c r="AX216" i="5"/>
  <c r="AX231" i="5"/>
  <c r="AY231" i="5"/>
  <c r="AY214" i="5"/>
  <c r="AX214" i="5"/>
  <c r="AY188" i="5"/>
  <c r="AX188" i="5"/>
  <c r="AY176" i="5"/>
  <c r="AX176" i="5"/>
  <c r="AX131" i="5"/>
  <c r="AY131" i="5"/>
  <c r="AY141" i="5"/>
  <c r="AX141" i="5"/>
  <c r="AX135" i="5"/>
  <c r="AY135" i="5"/>
  <c r="AY95" i="5"/>
  <c r="AX95" i="5"/>
  <c r="AX70" i="5"/>
  <c r="AY70" i="5"/>
  <c r="AY65" i="5"/>
  <c r="AX65" i="5"/>
  <c r="AX34" i="5"/>
  <c r="AY34" i="5"/>
  <c r="AX33" i="5"/>
  <c r="AY33" i="5"/>
  <c r="BC264" i="5"/>
  <c r="BE264" i="5" s="1"/>
  <c r="BC21" i="5"/>
  <c r="BE21" i="5" s="1"/>
  <c r="AX407" i="5"/>
  <c r="AY407" i="5"/>
  <c r="AY529" i="5"/>
  <c r="AX529" i="5"/>
  <c r="AY471" i="5"/>
  <c r="AX471" i="5"/>
  <c r="AY560" i="5"/>
  <c r="AX560" i="5"/>
  <c r="AX414" i="5"/>
  <c r="AY414" i="5"/>
  <c r="AY453" i="5"/>
  <c r="AX453" i="5"/>
  <c r="AX531" i="5"/>
  <c r="AY531" i="5"/>
  <c r="AX456" i="5"/>
  <c r="AY456" i="5"/>
  <c r="AX495" i="5"/>
  <c r="AY495" i="5"/>
  <c r="AY274" i="5"/>
  <c r="AX274" i="5"/>
  <c r="AY404" i="5"/>
  <c r="AX404" i="5"/>
  <c r="AX481" i="5"/>
  <c r="AY481" i="5"/>
  <c r="AX372" i="5"/>
  <c r="AY372" i="5"/>
  <c r="AY360" i="5"/>
  <c r="AX360" i="5"/>
  <c r="AY548" i="5"/>
  <c r="AX548" i="5"/>
  <c r="BC548" i="5"/>
  <c r="AX550" i="5"/>
  <c r="AY550" i="5"/>
  <c r="AY542" i="5"/>
  <c r="AX542" i="5"/>
  <c r="AX464" i="5"/>
  <c r="AY464" i="5"/>
  <c r="AX411" i="5"/>
  <c r="AY411" i="5"/>
  <c r="AY502" i="5"/>
  <c r="AX502" i="5"/>
  <c r="AX449" i="5"/>
  <c r="AY449" i="5"/>
  <c r="BC449" i="5"/>
  <c r="AY506" i="5"/>
  <c r="AX506" i="5"/>
  <c r="AY446" i="5"/>
  <c r="AX446" i="5"/>
  <c r="AX396" i="5"/>
  <c r="AY396" i="5"/>
  <c r="AX420" i="5"/>
  <c r="AY420" i="5"/>
  <c r="AX342" i="5"/>
  <c r="AY342" i="5"/>
  <c r="AY557" i="5"/>
  <c r="AX557" i="5"/>
  <c r="AY554" i="5"/>
  <c r="AX554" i="5"/>
  <c r="AX549" i="5"/>
  <c r="AY549" i="5"/>
  <c r="AY540" i="5"/>
  <c r="AX540" i="5"/>
  <c r="AY460" i="5"/>
  <c r="AX460" i="5"/>
  <c r="AX402" i="5"/>
  <c r="AY402" i="5"/>
  <c r="AX499" i="5"/>
  <c r="AY499" i="5"/>
  <c r="AX443" i="5"/>
  <c r="AY443" i="5"/>
  <c r="AX505" i="5"/>
  <c r="AY505" i="5"/>
  <c r="AX444" i="5"/>
  <c r="AY444" i="5"/>
  <c r="AX391" i="5"/>
  <c r="AY391" i="5"/>
  <c r="AX415" i="5"/>
  <c r="AY415" i="5"/>
  <c r="AX336" i="5"/>
  <c r="AY336" i="5"/>
  <c r="AY555" i="5"/>
  <c r="AX555" i="5"/>
  <c r="AY551" i="5"/>
  <c r="AX551" i="5"/>
  <c r="AX532" i="5"/>
  <c r="AY532" i="5"/>
  <c r="AY538" i="5"/>
  <c r="AX538" i="5"/>
  <c r="AY458" i="5"/>
  <c r="AX458" i="5"/>
  <c r="AX393" i="5"/>
  <c r="AY393" i="5"/>
  <c r="AX494" i="5"/>
  <c r="AY494" i="5"/>
  <c r="AX441" i="5"/>
  <c r="AY441" i="5"/>
  <c r="AX500" i="5"/>
  <c r="AY500" i="5"/>
  <c r="AX440" i="5"/>
  <c r="AY440" i="5"/>
  <c r="AX387" i="5"/>
  <c r="AY387" i="5"/>
  <c r="AX406" i="5"/>
  <c r="AY406" i="5"/>
  <c r="AY318" i="5"/>
  <c r="AX318" i="5"/>
  <c r="AX379" i="5"/>
  <c r="AY379" i="5"/>
  <c r="AY307" i="5"/>
  <c r="AX307" i="5"/>
  <c r="AX308" i="5"/>
  <c r="AY308" i="5"/>
  <c r="AX250" i="5"/>
  <c r="AY250" i="5"/>
  <c r="AY293" i="5"/>
  <c r="AX293" i="5"/>
  <c r="AX177" i="5"/>
  <c r="AY177" i="5"/>
  <c r="AX269" i="5"/>
  <c r="AY269" i="5"/>
  <c r="AX223" i="5"/>
  <c r="AY223" i="5"/>
  <c r="AX239" i="5"/>
  <c r="AY239" i="5"/>
  <c r="AX222" i="5"/>
  <c r="AY222" i="5"/>
  <c r="AX200" i="5"/>
  <c r="AY200" i="5"/>
  <c r="AY186" i="5"/>
  <c r="AX186" i="5"/>
  <c r="AY144" i="5"/>
  <c r="AX144" i="5"/>
  <c r="AX153" i="5"/>
  <c r="AY153" i="5"/>
  <c r="AX149" i="5"/>
  <c r="AY149" i="5"/>
  <c r="AX100" i="5"/>
  <c r="AY100" i="5"/>
  <c r="AX78" i="5"/>
  <c r="AY78" i="5"/>
  <c r="AX79" i="5"/>
  <c r="AY79" i="5"/>
  <c r="BC79" i="5"/>
  <c r="AX55" i="5"/>
  <c r="AY55" i="5"/>
  <c r="AX44" i="5"/>
  <c r="AY44" i="5"/>
  <c r="AY434" i="5"/>
  <c r="AX434" i="5"/>
  <c r="AY377" i="5"/>
  <c r="AX377" i="5"/>
  <c r="AX296" i="5"/>
  <c r="AY296" i="5"/>
  <c r="AY304" i="5"/>
  <c r="AX304" i="5"/>
  <c r="AX245" i="5"/>
  <c r="AY245" i="5"/>
  <c r="AY287" i="5"/>
  <c r="AX287" i="5"/>
  <c r="AY331" i="5"/>
  <c r="AX331" i="5"/>
  <c r="BC331" i="5"/>
  <c r="AX262" i="5"/>
  <c r="AY262" i="5"/>
  <c r="AY220" i="5"/>
  <c r="AX220" i="5"/>
  <c r="AY237" i="5"/>
  <c r="AX237" i="5"/>
  <c r="AY219" i="5"/>
  <c r="AX219" i="5"/>
  <c r="AY196" i="5"/>
  <c r="AX196" i="5"/>
  <c r="AY185" i="5"/>
  <c r="AX185" i="5"/>
  <c r="AY140" i="5"/>
  <c r="AX140" i="5"/>
  <c r="AX145" i="5"/>
  <c r="AY145" i="5"/>
  <c r="AX146" i="5"/>
  <c r="AY146" i="5"/>
  <c r="AX98" i="5"/>
  <c r="AY98" i="5"/>
  <c r="AY82" i="5"/>
  <c r="AX82" i="5"/>
  <c r="AY75" i="5"/>
  <c r="AX75" i="5"/>
  <c r="AY53" i="5"/>
  <c r="AX53" i="5"/>
  <c r="AY41" i="5"/>
  <c r="AX41" i="5"/>
  <c r="AY8" i="5"/>
  <c r="AX8" i="5"/>
  <c r="AX371" i="5"/>
  <c r="AY371" i="5"/>
  <c r="AX281" i="5"/>
  <c r="AY281" i="5"/>
  <c r="AY299" i="5"/>
  <c r="AX299" i="5"/>
  <c r="AX221" i="5"/>
  <c r="AY221" i="5"/>
  <c r="AY283" i="5"/>
  <c r="AX283" i="5"/>
  <c r="AX330" i="5"/>
  <c r="AY330" i="5"/>
  <c r="AX256" i="5"/>
  <c r="AY256" i="5"/>
  <c r="AY218" i="5"/>
  <c r="AX218" i="5"/>
  <c r="AY234" i="5"/>
  <c r="AX234" i="5"/>
  <c r="AX217" i="5"/>
  <c r="AY217" i="5"/>
  <c r="AX191" i="5"/>
  <c r="AY191" i="5"/>
  <c r="AY180" i="5"/>
  <c r="AX180" i="5"/>
  <c r="AX133" i="5"/>
  <c r="AY133" i="5"/>
  <c r="AX143" i="5"/>
  <c r="AY143" i="5"/>
  <c r="AX138" i="5"/>
  <c r="AY138" i="5"/>
  <c r="AX96" i="5"/>
  <c r="AY96" i="5"/>
  <c r="AX72" i="5"/>
  <c r="AY72" i="5"/>
  <c r="AX71" i="5"/>
  <c r="AY71" i="5"/>
  <c r="AX51" i="5"/>
  <c r="AY51" i="5"/>
  <c r="AX38" i="5"/>
  <c r="AY38" i="5"/>
  <c r="AT13" i="5"/>
  <c r="AZ13" i="5"/>
  <c r="AW13" i="5"/>
  <c r="T13" i="5"/>
  <c r="AY413" i="5"/>
  <c r="AX413" i="5"/>
  <c r="AY357" i="5"/>
  <c r="AX357" i="5"/>
  <c r="AX347" i="5"/>
  <c r="AY347" i="5"/>
  <c r="AY282" i="5"/>
  <c r="AX282" i="5"/>
  <c r="AX322" i="5"/>
  <c r="AY322" i="5"/>
  <c r="AX263" i="5"/>
  <c r="AY263" i="5"/>
  <c r="AY310" i="5"/>
  <c r="AX310" i="5"/>
  <c r="AX233" i="5"/>
  <c r="AY233" i="5"/>
  <c r="AX198" i="5"/>
  <c r="AY198" i="5"/>
  <c r="AY197" i="5"/>
  <c r="AX197" i="5"/>
  <c r="AY195" i="5"/>
  <c r="AX195" i="5"/>
  <c r="AY170" i="5"/>
  <c r="AX170" i="5"/>
  <c r="AY164" i="5"/>
  <c r="AX164" i="5"/>
  <c r="AX114" i="5"/>
  <c r="AY114" i="5"/>
  <c r="AY130" i="5"/>
  <c r="AX130" i="5"/>
  <c r="AX120" i="5"/>
  <c r="AY120" i="5"/>
  <c r="AX84" i="5"/>
  <c r="AY84" i="5"/>
  <c r="AX83" i="5"/>
  <c r="AY83" i="5"/>
  <c r="AX54" i="5"/>
  <c r="AY54" i="5"/>
  <c r="AX45" i="5"/>
  <c r="AY45" i="5"/>
  <c r="AX48" i="5"/>
  <c r="AY48" i="5"/>
  <c r="AY513" i="5"/>
  <c r="AX513" i="5"/>
  <c r="AY474" i="5"/>
  <c r="AX474" i="5"/>
  <c r="AY536" i="5"/>
  <c r="AX536" i="5"/>
  <c r="AX266" i="5"/>
  <c r="AY266" i="5"/>
  <c r="AX462" i="5"/>
  <c r="AY462" i="5"/>
  <c r="AY422" i="5"/>
  <c r="AX422" i="5"/>
  <c r="AY467" i="5"/>
  <c r="AX467" i="5"/>
  <c r="AY507" i="5"/>
  <c r="AX507" i="5"/>
  <c r="AY552" i="5"/>
  <c r="AX552" i="5"/>
  <c r="AY519" i="5"/>
  <c r="AX519" i="5"/>
  <c r="AY300" i="5"/>
  <c r="AX300" i="5"/>
  <c r="AY556" i="5"/>
  <c r="AX556" i="5"/>
  <c r="AX508" i="5"/>
  <c r="AY508" i="5"/>
  <c r="AX401" i="5"/>
  <c r="AY401" i="5"/>
  <c r="AX390" i="5"/>
  <c r="AY390" i="5"/>
  <c r="AY309" i="5"/>
  <c r="AX309" i="5"/>
  <c r="AX181" i="5"/>
  <c r="AY181" i="5"/>
  <c r="AX179" i="5"/>
  <c r="AY179" i="5"/>
  <c r="AX106" i="5"/>
  <c r="AY106" i="5"/>
  <c r="AY28" i="5"/>
  <c r="AX28" i="5"/>
  <c r="AX319" i="5"/>
  <c r="AY319" i="5"/>
  <c r="AY248" i="5"/>
  <c r="AX248" i="5"/>
  <c r="AX235" i="5"/>
  <c r="AY235" i="5"/>
  <c r="AY80" i="5"/>
  <c r="AX80" i="5"/>
  <c r="AY93" i="5"/>
  <c r="AX93" i="5"/>
  <c r="AY23" i="5"/>
  <c r="AX23" i="5"/>
  <c r="AX258" i="5"/>
  <c r="AY258" i="5"/>
  <c r="AY227" i="5"/>
  <c r="AX227" i="5"/>
  <c r="AY207" i="5"/>
  <c r="AX207" i="5"/>
  <c r="AY246" i="5"/>
  <c r="AX246" i="5"/>
  <c r="AY261" i="5"/>
  <c r="AX261" i="5"/>
  <c r="AX491" i="5"/>
  <c r="AY491" i="5"/>
  <c r="AY424" i="5"/>
  <c r="AX424" i="5"/>
  <c r="AY559" i="5"/>
  <c r="AX559" i="5"/>
  <c r="AY503" i="5"/>
  <c r="AX503" i="5"/>
  <c r="AX397" i="5"/>
  <c r="AY397" i="5"/>
  <c r="AX546" i="5"/>
  <c r="AY546" i="5"/>
  <c r="AX375" i="5"/>
  <c r="AY375" i="5"/>
  <c r="AX430" i="5"/>
  <c r="AY430" i="5"/>
  <c r="AX19" i="5"/>
  <c r="AY19" i="5"/>
  <c r="AX526" i="5"/>
  <c r="AY526" i="5"/>
  <c r="AX373" i="5"/>
  <c r="AY373" i="5"/>
  <c r="AY388" i="5"/>
  <c r="AX388" i="5"/>
  <c r="AY525" i="5"/>
  <c r="AX525" i="5"/>
  <c r="AX541" i="5"/>
  <c r="AY541" i="5"/>
  <c r="AY459" i="5"/>
  <c r="AX459" i="5"/>
  <c r="AY534" i="5"/>
  <c r="AX534" i="5"/>
  <c r="AY448" i="5"/>
  <c r="AX448" i="5"/>
  <c r="AY351" i="5"/>
  <c r="AX351" i="5"/>
  <c r="AY489" i="5"/>
  <c r="AX489" i="5"/>
  <c r="AY436" i="5"/>
  <c r="AX436" i="5"/>
  <c r="AY492" i="5"/>
  <c r="AX492" i="5"/>
  <c r="BC492" i="5"/>
  <c r="AY429" i="5"/>
  <c r="AX429" i="5"/>
  <c r="AY382" i="5"/>
  <c r="AX382" i="5"/>
  <c r="AX398" i="5"/>
  <c r="AY398" i="5"/>
  <c r="AX439" i="5"/>
  <c r="AY439" i="5"/>
  <c r="AX515" i="5"/>
  <c r="AY515" i="5"/>
  <c r="AY539" i="5"/>
  <c r="AX539" i="5"/>
  <c r="AX452" i="5"/>
  <c r="AY452" i="5"/>
  <c r="AX533" i="5"/>
  <c r="AY533" i="5"/>
  <c r="AX445" i="5"/>
  <c r="AY445" i="5"/>
  <c r="AX339" i="5"/>
  <c r="AY339" i="5"/>
  <c r="AX488" i="5"/>
  <c r="AY488" i="5"/>
  <c r="AX431" i="5"/>
  <c r="AY431" i="5"/>
  <c r="AX484" i="5"/>
  <c r="AY484" i="5"/>
  <c r="AY428" i="5"/>
  <c r="AX428" i="5"/>
  <c r="AY381" i="5"/>
  <c r="AX381" i="5"/>
  <c r="AX395" i="5"/>
  <c r="AY395" i="5"/>
  <c r="AX432" i="5"/>
  <c r="AY432" i="5"/>
  <c r="AX504" i="5"/>
  <c r="AY504" i="5"/>
  <c r="AX535" i="5"/>
  <c r="AY535" i="5"/>
  <c r="AX423" i="5"/>
  <c r="AY423" i="5"/>
  <c r="AX527" i="5"/>
  <c r="AY527" i="5"/>
  <c r="AX442" i="5"/>
  <c r="AY442" i="5"/>
  <c r="AX335" i="5"/>
  <c r="AY335" i="5"/>
  <c r="AX487" i="5"/>
  <c r="AY487" i="5"/>
  <c r="AY418" i="5"/>
  <c r="AX418" i="5"/>
  <c r="AX482" i="5"/>
  <c r="AY482" i="5"/>
  <c r="AX385" i="5"/>
  <c r="AY385" i="5"/>
  <c r="AX376" i="5"/>
  <c r="AY376" i="5"/>
  <c r="AX394" i="5"/>
  <c r="AY394" i="5"/>
  <c r="AX426" i="5"/>
  <c r="AY426" i="5"/>
  <c r="AX365" i="5"/>
  <c r="AY365" i="5"/>
  <c r="AX212" i="5"/>
  <c r="AY212" i="5"/>
  <c r="AY292" i="5"/>
  <c r="AX292" i="5"/>
  <c r="AY190" i="5"/>
  <c r="AX190" i="5"/>
  <c r="AX275" i="5"/>
  <c r="AY275" i="5"/>
  <c r="AX326" i="5"/>
  <c r="AY326" i="5"/>
  <c r="AY247" i="5"/>
  <c r="AX247" i="5"/>
  <c r="AY209" i="5"/>
  <c r="AX209" i="5"/>
  <c r="AY215" i="5"/>
  <c r="AX215" i="5"/>
  <c r="AY210" i="5"/>
  <c r="AX210" i="5"/>
  <c r="AX184" i="5"/>
  <c r="AY184" i="5"/>
  <c r="AX174" i="5"/>
  <c r="AY174" i="5"/>
  <c r="AY129" i="5"/>
  <c r="AX129" i="5"/>
  <c r="AY136" i="5"/>
  <c r="AX136" i="5"/>
  <c r="AX128" i="5"/>
  <c r="AY128" i="5"/>
  <c r="AX92" i="5"/>
  <c r="AY92" i="5"/>
  <c r="AX67" i="5"/>
  <c r="AY67" i="5"/>
  <c r="AY62" i="5"/>
  <c r="AX62" i="5"/>
  <c r="AX69" i="5"/>
  <c r="AY69" i="5"/>
  <c r="AX30" i="5"/>
  <c r="AY30" i="5"/>
  <c r="AY419" i="5"/>
  <c r="AX419" i="5"/>
  <c r="AY363" i="5"/>
  <c r="AX363" i="5"/>
  <c r="AY355" i="5"/>
  <c r="AX355" i="5"/>
  <c r="AX289" i="5"/>
  <c r="AY289" i="5"/>
  <c r="AY332" i="5"/>
  <c r="AX332" i="5"/>
  <c r="AX268" i="5"/>
  <c r="AY268" i="5"/>
  <c r="AX321" i="5"/>
  <c r="AY321" i="5"/>
  <c r="AY243" i="5"/>
  <c r="AX243" i="5"/>
  <c r="AY206" i="5"/>
  <c r="AX206" i="5"/>
  <c r="AY202" i="5"/>
  <c r="AX202" i="5"/>
  <c r="AY204" i="5"/>
  <c r="AX204" i="5"/>
  <c r="AX182" i="5"/>
  <c r="AY182" i="5"/>
  <c r="AY168" i="5"/>
  <c r="AX168" i="5"/>
  <c r="AY123" i="5"/>
  <c r="AX123" i="5"/>
  <c r="AY134" i="5"/>
  <c r="AX134" i="5"/>
  <c r="AX126" i="5"/>
  <c r="AY126" i="5"/>
  <c r="AY90" i="5"/>
  <c r="AX90" i="5"/>
  <c r="AX91" i="5"/>
  <c r="AY91" i="5"/>
  <c r="AY57" i="5"/>
  <c r="AX57" i="5"/>
  <c r="AY63" i="5"/>
  <c r="AX63" i="5"/>
  <c r="AY29" i="5"/>
  <c r="AX29" i="5"/>
  <c r="AY416" i="5"/>
  <c r="AX416" i="5"/>
  <c r="AY359" i="5"/>
  <c r="AX359" i="5"/>
  <c r="AX353" i="5"/>
  <c r="AY353" i="5"/>
  <c r="AX286" i="5"/>
  <c r="AY286" i="5"/>
  <c r="AX324" i="5"/>
  <c r="AY324" i="5"/>
  <c r="AX265" i="5"/>
  <c r="AY265" i="5"/>
  <c r="AX317" i="5"/>
  <c r="AY317" i="5"/>
  <c r="AY236" i="5"/>
  <c r="AX236" i="5"/>
  <c r="AX201" i="5"/>
  <c r="AY201" i="5"/>
  <c r="AY199" i="5"/>
  <c r="AX199" i="5"/>
  <c r="AY203" i="5"/>
  <c r="AX203" i="5"/>
  <c r="AY171" i="5"/>
  <c r="AX171" i="5"/>
  <c r="AY166" i="5"/>
  <c r="AX166" i="5"/>
  <c r="AX121" i="5"/>
  <c r="AY121" i="5"/>
  <c r="AY132" i="5"/>
  <c r="AX132" i="5"/>
  <c r="AY125" i="5"/>
  <c r="AX125" i="5"/>
  <c r="AX89" i="5"/>
  <c r="AY89" i="5"/>
  <c r="AX88" i="5"/>
  <c r="AY88" i="5"/>
  <c r="AY56" i="5"/>
  <c r="AX56" i="5"/>
  <c r="AX52" i="5"/>
  <c r="AY52" i="5"/>
  <c r="AY20" i="5"/>
  <c r="AX20" i="5"/>
  <c r="AY341" i="5"/>
  <c r="AX341" i="5"/>
  <c r="AX392" i="5"/>
  <c r="AY392" i="5"/>
  <c r="AY345" i="5"/>
  <c r="AX345" i="5"/>
  <c r="AY328" i="5"/>
  <c r="AX328" i="5"/>
  <c r="AX270" i="5"/>
  <c r="AY270" i="5"/>
  <c r="AY312" i="5"/>
  <c r="AX312" i="5"/>
  <c r="AY251" i="5"/>
  <c r="AX251" i="5"/>
  <c r="AY294" i="5"/>
  <c r="AX294" i="5"/>
  <c r="AX241" i="5"/>
  <c r="AY241" i="5"/>
  <c r="AX187" i="5"/>
  <c r="AY187" i="5"/>
  <c r="AX240" i="5"/>
  <c r="AY240" i="5"/>
  <c r="AY148" i="5"/>
  <c r="AX148" i="5"/>
  <c r="AX183" i="5"/>
  <c r="AY183" i="5"/>
  <c r="AX155" i="5"/>
  <c r="AY155" i="5"/>
  <c r="AX102" i="5"/>
  <c r="AY102" i="5"/>
  <c r="AX115" i="5"/>
  <c r="AY115" i="5"/>
  <c r="AX111" i="5"/>
  <c r="AY111" i="5"/>
  <c r="AX99" i="5"/>
  <c r="AY99" i="5"/>
  <c r="AX58" i="5"/>
  <c r="AY58" i="5"/>
  <c r="AY36" i="5"/>
  <c r="AX36" i="5"/>
  <c r="AY32" i="5"/>
  <c r="AX32" i="5"/>
  <c r="AX26" i="5"/>
  <c r="AY26" i="5"/>
  <c r="AX323" i="5"/>
  <c r="AY323" i="5"/>
  <c r="AX472" i="5"/>
  <c r="AY472" i="5"/>
  <c r="AX348" i="5"/>
  <c r="AY348" i="5"/>
  <c r="AX400" i="5"/>
  <c r="AY400" i="5"/>
  <c r="AY352" i="5"/>
  <c r="AX352" i="5"/>
  <c r="AY457" i="5"/>
  <c r="AX457" i="5"/>
  <c r="AY490" i="5"/>
  <c r="AX490" i="5"/>
  <c r="BC490" i="5"/>
  <c r="AY455" i="5"/>
  <c r="AX455" i="5"/>
  <c r="BC455" i="5"/>
  <c r="AY405" i="5"/>
  <c r="AX405" i="5"/>
  <c r="AY358" i="5"/>
  <c r="AX358" i="5"/>
  <c r="AX369" i="5"/>
  <c r="AY369" i="5"/>
  <c r="AX485" i="5"/>
  <c r="AY485" i="5"/>
  <c r="AX509" i="5"/>
  <c r="AY509" i="5"/>
  <c r="AX465" i="5"/>
  <c r="AY465" i="5"/>
  <c r="AY354" i="5"/>
  <c r="AX354" i="5"/>
  <c r="AX383" i="5"/>
  <c r="AY383" i="5"/>
  <c r="AX483" i="5"/>
  <c r="AY483" i="5"/>
  <c r="AX451" i="5"/>
  <c r="AY451" i="5"/>
  <c r="AX461" i="5"/>
  <c r="AY461" i="5"/>
  <c r="AY349" i="5"/>
  <c r="AX349" i="5"/>
  <c r="AX325" i="5"/>
  <c r="AY325" i="5"/>
  <c r="AY249" i="5"/>
  <c r="AX249" i="5"/>
  <c r="AY290" i="5"/>
  <c r="AX290" i="5"/>
  <c r="AY238" i="5"/>
  <c r="AX238" i="5"/>
  <c r="AY154" i="5"/>
  <c r="AX154" i="5"/>
  <c r="AX87" i="5"/>
  <c r="AY87" i="5"/>
  <c r="AX77" i="5"/>
  <c r="AY77" i="5"/>
  <c r="AY25" i="5"/>
  <c r="AX25" i="5"/>
  <c r="AY337" i="5"/>
  <c r="AX337" i="5"/>
  <c r="AX306" i="5"/>
  <c r="AY306" i="5"/>
  <c r="AY229" i="5"/>
  <c r="AX229" i="5"/>
  <c r="AY124" i="5"/>
  <c r="AX124" i="5"/>
  <c r="AX178" i="5"/>
  <c r="AY178" i="5"/>
  <c r="AY161" i="5"/>
  <c r="AX161" i="5"/>
  <c r="AY76" i="5"/>
  <c r="AX76" i="5"/>
  <c r="AY24" i="5"/>
  <c r="AX24" i="5"/>
  <c r="AY327" i="5"/>
  <c r="AX327" i="5"/>
  <c r="AX301" i="5"/>
  <c r="AY301" i="5"/>
  <c r="AY278" i="5"/>
  <c r="AX278" i="5"/>
  <c r="AY228" i="5"/>
  <c r="AX228" i="5"/>
  <c r="AY150" i="5"/>
  <c r="AX150" i="5"/>
  <c r="AY158" i="5"/>
  <c r="AX158" i="5"/>
  <c r="AY85" i="5"/>
  <c r="AX85" i="5"/>
  <c r="AX213" i="5"/>
  <c r="AY213" i="5"/>
  <c r="AX468" i="5"/>
  <c r="AY468" i="5"/>
  <c r="AY463" i="5"/>
  <c r="AX463" i="5"/>
  <c r="BC463" i="5"/>
  <c r="AX537" i="5"/>
  <c r="AY537" i="5"/>
  <c r="AY470" i="5"/>
  <c r="AX470" i="5"/>
  <c r="AY544" i="5"/>
  <c r="AX544" i="5"/>
  <c r="AY450" i="5"/>
  <c r="AX450" i="5"/>
  <c r="AX259" i="5"/>
  <c r="AY259" i="5"/>
  <c r="BC259" i="5"/>
  <c r="AX524" i="5"/>
  <c r="AY524" i="5"/>
  <c r="AY493" i="5"/>
  <c r="AX493" i="5"/>
  <c r="AX386" i="5"/>
  <c r="AY386" i="5"/>
  <c r="AY498" i="5"/>
  <c r="AX498" i="5"/>
  <c r="AY437" i="5"/>
  <c r="AX437" i="5"/>
  <c r="AX480" i="5"/>
  <c r="AY480" i="5"/>
  <c r="AY553" i="5"/>
  <c r="AX553" i="5"/>
  <c r="AX486" i="5"/>
  <c r="AY486" i="5"/>
  <c r="AY528" i="5"/>
  <c r="AX528" i="5"/>
  <c r="AY291" i="5"/>
  <c r="AX291" i="5"/>
  <c r="AX517" i="5"/>
  <c r="AY517" i="5"/>
  <c r="AX435" i="5"/>
  <c r="AY435" i="5"/>
  <c r="AX521" i="5"/>
  <c r="AY521" i="5"/>
  <c r="AY473" i="5"/>
  <c r="AX473" i="5"/>
  <c r="AX367" i="5"/>
  <c r="AY367" i="5"/>
  <c r="AX479" i="5"/>
  <c r="AY479" i="5"/>
  <c r="AY338" i="5"/>
  <c r="AX338" i="5"/>
  <c r="AX368" i="5"/>
  <c r="AY368" i="5"/>
  <c r="AX378" i="5"/>
  <c r="AY378" i="5"/>
  <c r="AY545" i="5"/>
  <c r="AX545" i="5"/>
  <c r="AY478" i="5"/>
  <c r="AX478" i="5"/>
  <c r="AX522" i="5"/>
  <c r="AY522" i="5"/>
  <c r="AX285" i="5"/>
  <c r="AY285" i="5"/>
  <c r="AY501" i="5"/>
  <c r="AX501" i="5"/>
  <c r="AY433" i="5"/>
  <c r="AX433" i="5"/>
  <c r="AY520" i="5"/>
  <c r="AX520" i="5"/>
  <c r="AY469" i="5"/>
  <c r="AX469" i="5"/>
  <c r="AX361" i="5"/>
  <c r="AY361" i="5"/>
  <c r="AY477" i="5"/>
  <c r="AX477" i="5"/>
  <c r="AY410" i="5"/>
  <c r="AX410" i="5"/>
  <c r="AY362" i="5"/>
  <c r="AX362" i="5"/>
  <c r="AX374" i="5"/>
  <c r="AY374" i="5"/>
  <c r="AY543" i="5"/>
  <c r="AX543" i="5"/>
  <c r="AY475" i="5"/>
  <c r="AX475" i="5"/>
  <c r="AX516" i="5"/>
  <c r="AY516" i="5"/>
  <c r="AY279" i="5"/>
  <c r="AX279" i="5"/>
  <c r="AY496" i="5"/>
  <c r="AX496" i="5"/>
  <c r="AX425" i="5"/>
  <c r="AY425" i="5"/>
  <c r="AY518" i="5"/>
  <c r="AX518" i="5"/>
  <c r="AX466" i="5"/>
  <c r="AY466" i="5"/>
  <c r="AY288" i="5"/>
  <c r="AX288" i="5"/>
  <c r="AX476" i="5"/>
  <c r="AY476" i="5"/>
  <c r="AX409" i="5"/>
  <c r="AY409" i="5"/>
  <c r="AY343" i="5"/>
  <c r="AX343" i="5"/>
  <c r="AX366" i="5"/>
  <c r="AY366" i="5"/>
  <c r="AX412" i="5"/>
  <c r="AY412" i="5"/>
  <c r="AX356" i="5"/>
  <c r="AY356" i="5"/>
  <c r="AX340" i="5"/>
  <c r="AY340" i="5"/>
  <c r="AX277" i="5"/>
  <c r="AY277" i="5"/>
  <c r="AY320" i="5"/>
  <c r="AX320" i="5"/>
  <c r="AY257" i="5"/>
  <c r="AX257" i="5"/>
  <c r="AY305" i="5"/>
  <c r="AX305" i="5"/>
  <c r="AX211" i="5"/>
  <c r="AY211" i="5"/>
  <c r="AX193" i="5"/>
  <c r="AY193" i="5"/>
  <c r="AX167" i="5"/>
  <c r="AY167" i="5"/>
  <c r="AX194" i="5"/>
  <c r="AY194" i="5"/>
  <c r="AX165" i="5"/>
  <c r="AY165" i="5"/>
  <c r="AX159" i="5"/>
  <c r="AY159" i="5"/>
  <c r="AX110" i="5"/>
  <c r="AY110" i="5"/>
  <c r="AX127" i="5"/>
  <c r="AY127" i="5"/>
  <c r="AX118" i="5"/>
  <c r="AY118" i="5"/>
  <c r="AX109" i="5"/>
  <c r="AY109" i="5"/>
  <c r="AX74" i="5"/>
  <c r="AY74" i="5"/>
  <c r="AX50" i="5"/>
  <c r="AY50" i="5"/>
  <c r="AX42" i="5"/>
  <c r="AY42" i="5"/>
  <c r="AX43" i="5"/>
  <c r="AY43" i="5"/>
  <c r="AX408" i="5"/>
  <c r="AY408" i="5"/>
  <c r="AX350" i="5"/>
  <c r="AY350" i="5"/>
  <c r="AY334" i="5"/>
  <c r="AX334" i="5"/>
  <c r="AY276" i="5"/>
  <c r="AX276" i="5"/>
  <c r="AX315" i="5"/>
  <c r="AY315" i="5"/>
  <c r="AY255" i="5"/>
  <c r="AX255" i="5"/>
  <c r="AX302" i="5"/>
  <c r="AY302" i="5"/>
  <c r="AX208" i="5"/>
  <c r="AY208" i="5"/>
  <c r="AX192" i="5"/>
  <c r="AY192" i="5"/>
  <c r="AX244" i="5"/>
  <c r="AY244" i="5"/>
  <c r="AX162" i="5"/>
  <c r="AY162" i="5"/>
  <c r="AY137" i="5"/>
  <c r="AX137" i="5"/>
  <c r="AX139" i="5"/>
  <c r="AY139" i="5"/>
  <c r="AX108" i="5"/>
  <c r="AY108" i="5"/>
  <c r="AY122" i="5"/>
  <c r="AX122" i="5"/>
  <c r="AY117" i="5"/>
  <c r="AX117" i="5"/>
  <c r="AY104" i="5"/>
  <c r="AX104" i="5"/>
  <c r="BC104" i="5"/>
  <c r="AY73" i="5"/>
  <c r="AX73" i="5"/>
  <c r="AY49" i="5"/>
  <c r="AX49" i="5"/>
  <c r="AY39" i="5"/>
  <c r="AX39" i="5"/>
  <c r="AX37" i="5"/>
  <c r="AY37" i="5"/>
  <c r="AX399" i="5"/>
  <c r="AY399" i="5"/>
  <c r="AX346" i="5"/>
  <c r="AY346" i="5"/>
  <c r="AX333" i="5"/>
  <c r="AY333" i="5"/>
  <c r="AY273" i="5"/>
  <c r="AX273" i="5"/>
  <c r="AY314" i="5"/>
  <c r="AX314" i="5"/>
  <c r="AX254" i="5"/>
  <c r="AY254" i="5"/>
  <c r="AY298" i="5"/>
  <c r="AX298" i="5"/>
  <c r="AY163" i="5"/>
  <c r="AX163" i="5"/>
  <c r="AX189" i="5"/>
  <c r="AY189" i="5"/>
  <c r="AX242" i="5"/>
  <c r="AY242" i="5"/>
  <c r="AY160" i="5"/>
  <c r="AX160" i="5"/>
  <c r="AY119" i="5"/>
  <c r="AX119" i="5"/>
  <c r="AX113" i="5"/>
  <c r="AY113" i="5"/>
  <c r="AY105" i="5"/>
  <c r="AX105" i="5"/>
  <c r="AX116" i="5"/>
  <c r="AY116" i="5"/>
  <c r="AX112" i="5"/>
  <c r="AY112" i="5"/>
  <c r="AY101" i="5"/>
  <c r="AX101" i="5"/>
  <c r="AY68" i="5"/>
  <c r="AX68" i="5"/>
  <c r="AX47" i="5"/>
  <c r="AY47" i="5"/>
  <c r="AX35" i="5"/>
  <c r="AY35" i="5"/>
  <c r="AX31" i="5"/>
  <c r="AY31" i="5"/>
  <c r="AX271" i="5"/>
  <c r="AY271" i="5"/>
  <c r="AX380" i="5"/>
  <c r="AY380" i="5"/>
  <c r="AX313" i="5"/>
  <c r="AY313" i="5"/>
  <c r="AY311" i="5"/>
  <c r="AX311" i="5"/>
  <c r="AY252" i="5"/>
  <c r="AX252" i="5"/>
  <c r="AY295" i="5"/>
  <c r="AX295" i="5"/>
  <c r="AX225" i="5"/>
  <c r="AY225" i="5"/>
  <c r="AX272" i="5"/>
  <c r="AY272" i="5"/>
  <c r="AY224" i="5"/>
  <c r="AX224" i="5"/>
  <c r="AX169" i="5"/>
  <c r="AY169" i="5"/>
  <c r="AX226" i="5"/>
  <c r="AY226" i="5"/>
  <c r="AY205" i="5"/>
  <c r="AX205" i="5"/>
  <c r="AX156" i="5"/>
  <c r="AY156" i="5"/>
  <c r="AY147" i="5"/>
  <c r="AX147" i="5"/>
  <c r="AY157" i="5"/>
  <c r="AX157" i="5"/>
  <c r="AX152" i="5"/>
  <c r="AY152" i="5"/>
  <c r="AY107" i="5"/>
  <c r="AX107" i="5"/>
  <c r="AY81" i="5"/>
  <c r="AX81" i="5"/>
  <c r="AY40" i="5"/>
  <c r="AX40" i="5"/>
  <c r="AY59" i="5"/>
  <c r="AX59" i="5"/>
  <c r="AY46" i="5"/>
  <c r="AX46" i="5"/>
  <c r="BC123" i="5"/>
  <c r="AL165" i="5"/>
  <c r="AL153" i="5"/>
  <c r="AK156" i="5"/>
  <c r="AK49" i="5"/>
  <c r="AK28" i="5"/>
  <c r="AK13" i="5"/>
  <c r="AL13" i="5"/>
  <c r="BA12" i="5"/>
  <c r="BB12" i="5"/>
  <c r="AL516" i="5"/>
  <c r="AK516" i="5"/>
  <c r="AL290" i="5"/>
  <c r="AK290" i="5"/>
  <c r="AL243" i="5"/>
  <c r="AK243" i="5"/>
  <c r="AL374" i="5"/>
  <c r="AK374" i="5"/>
  <c r="AK151" i="5"/>
  <c r="AL151" i="5"/>
  <c r="AL152" i="5"/>
  <c r="AK152" i="5"/>
  <c r="AK65" i="5"/>
  <c r="AL65" i="5"/>
  <c r="AK489" i="5"/>
  <c r="AL489" i="5"/>
  <c r="AK515" i="5"/>
  <c r="AL515" i="5"/>
  <c r="AL377" i="5"/>
  <c r="AK377" i="5"/>
  <c r="AL134" i="5"/>
  <c r="AK134" i="5"/>
  <c r="AL342" i="5"/>
  <c r="AK342" i="5"/>
  <c r="AK463" i="5"/>
  <c r="AL463" i="5"/>
  <c r="AL323" i="5"/>
  <c r="AK323" i="5"/>
  <c r="AK281" i="5"/>
  <c r="AL281" i="5"/>
  <c r="AK163" i="5"/>
  <c r="AL163" i="5"/>
  <c r="AL175" i="5"/>
  <c r="AK175" i="5"/>
  <c r="AL474" i="5"/>
  <c r="AK474" i="5"/>
  <c r="AL466" i="5"/>
  <c r="AK466" i="5"/>
  <c r="AK400" i="5"/>
  <c r="AL400" i="5"/>
  <c r="AK453" i="5"/>
  <c r="AL453" i="5"/>
  <c r="AL546" i="5"/>
  <c r="AK546" i="5"/>
  <c r="AL413" i="5"/>
  <c r="AK413" i="5"/>
  <c r="AK491" i="5"/>
  <c r="AL491" i="5"/>
  <c r="AK258" i="5"/>
  <c r="AL258" i="5"/>
  <c r="AL300" i="5"/>
  <c r="AK300" i="5"/>
  <c r="AK196" i="5"/>
  <c r="AL196" i="5"/>
  <c r="AK359" i="5"/>
  <c r="AL359" i="5"/>
  <c r="AK206" i="5"/>
  <c r="AL206" i="5"/>
  <c r="AK207" i="5"/>
  <c r="AL207" i="5"/>
  <c r="AL467" i="5"/>
  <c r="AK467" i="5"/>
  <c r="AK385" i="5"/>
  <c r="AL385" i="5"/>
  <c r="AK462" i="5"/>
  <c r="AL462" i="5"/>
  <c r="AL244" i="5"/>
  <c r="AK244" i="5"/>
  <c r="AL160" i="5"/>
  <c r="AK160" i="5"/>
  <c r="AL495" i="5"/>
  <c r="AK495" i="5"/>
  <c r="AK501" i="5"/>
  <c r="AL501" i="5"/>
  <c r="AK267" i="5"/>
  <c r="AL267" i="5"/>
  <c r="AL217" i="5"/>
  <c r="AK217" i="5"/>
  <c r="AK63" i="5"/>
  <c r="AL63" i="5"/>
  <c r="AK465" i="5"/>
  <c r="AL465" i="5"/>
  <c r="AK531" i="5"/>
  <c r="AL531" i="5"/>
  <c r="AL337" i="5"/>
  <c r="AK337" i="5"/>
  <c r="AK21" i="5"/>
  <c r="AL21" i="5"/>
  <c r="AL114" i="5"/>
  <c r="AK114" i="5"/>
  <c r="AL420" i="5"/>
  <c r="AK420" i="5"/>
  <c r="AK481" i="5"/>
  <c r="AL481" i="5"/>
  <c r="AK279" i="5"/>
  <c r="AL279" i="5"/>
  <c r="AK37" i="5"/>
  <c r="AL37" i="5"/>
  <c r="AL430" i="5"/>
  <c r="AK430" i="5"/>
  <c r="AK346" i="5"/>
  <c r="AL346" i="5"/>
  <c r="AK423" i="5"/>
  <c r="AL423" i="5"/>
  <c r="AL177" i="5"/>
  <c r="AK177" i="5"/>
  <c r="AK92" i="5"/>
  <c r="AL92" i="5"/>
  <c r="AL102" i="5"/>
  <c r="AK102" i="5"/>
  <c r="AL140" i="5"/>
  <c r="AK140" i="5"/>
  <c r="AL112" i="5"/>
  <c r="AK112" i="5"/>
  <c r="AL484" i="5"/>
  <c r="AK484" i="5"/>
  <c r="AK556" i="5"/>
  <c r="AL556" i="5"/>
  <c r="AL412" i="5"/>
  <c r="AK412" i="5"/>
  <c r="AK558" i="5"/>
  <c r="AL558" i="5"/>
  <c r="AK370" i="5"/>
  <c r="AL370" i="5"/>
  <c r="AK553" i="5"/>
  <c r="AL553" i="5"/>
  <c r="AL476" i="5"/>
  <c r="AK476" i="5"/>
  <c r="AL552" i="5"/>
  <c r="AK552" i="5"/>
  <c r="AL443" i="5"/>
  <c r="AK443" i="5"/>
  <c r="AK425" i="5"/>
  <c r="AL425" i="5"/>
  <c r="AL245" i="5"/>
  <c r="AK245" i="5"/>
  <c r="AL313" i="5"/>
  <c r="AK313" i="5"/>
  <c r="AK224" i="5"/>
  <c r="AL224" i="5"/>
  <c r="AK25" i="5"/>
  <c r="AL25" i="5"/>
  <c r="AL171" i="5"/>
  <c r="AK171" i="5"/>
  <c r="AK159" i="5"/>
  <c r="AL159" i="5"/>
  <c r="AL120" i="5"/>
  <c r="AK120" i="5"/>
  <c r="AK201" i="5"/>
  <c r="AL201" i="5"/>
  <c r="AL455" i="5"/>
  <c r="AK455" i="5"/>
  <c r="AK452" i="5"/>
  <c r="AL452" i="5"/>
  <c r="AK410" i="5"/>
  <c r="AL410" i="5"/>
  <c r="AK422" i="5"/>
  <c r="AL422" i="5"/>
  <c r="AK503" i="5"/>
  <c r="AL503" i="5"/>
  <c r="AK352" i="5"/>
  <c r="AL352" i="5"/>
  <c r="AL470" i="5"/>
  <c r="AK470" i="5"/>
  <c r="AK257" i="5"/>
  <c r="AL257" i="5"/>
  <c r="AL322" i="5"/>
  <c r="AK322" i="5"/>
  <c r="AK363" i="5"/>
  <c r="AL363" i="5"/>
  <c r="AK142" i="5"/>
  <c r="AL142" i="5"/>
  <c r="AL211" i="5"/>
  <c r="AK211" i="5"/>
  <c r="AK32" i="5"/>
  <c r="AL32" i="5"/>
  <c r="AK110" i="5"/>
  <c r="AL110" i="5"/>
  <c r="AL85" i="5"/>
  <c r="AK85" i="5"/>
  <c r="AK86" i="5"/>
  <c r="AL86" i="5"/>
  <c r="AK554" i="5"/>
  <c r="AL554" i="5"/>
  <c r="AK111" i="5"/>
  <c r="AL111" i="5"/>
  <c r="AL428" i="5"/>
  <c r="AK428" i="5"/>
  <c r="AL436" i="5"/>
  <c r="AK436" i="5"/>
  <c r="AK402" i="5"/>
  <c r="AL402" i="5"/>
  <c r="AK406" i="5"/>
  <c r="AL406" i="5"/>
  <c r="AK490" i="5"/>
  <c r="AL490" i="5"/>
  <c r="AK327" i="5"/>
  <c r="AL327" i="5"/>
  <c r="AL456" i="5"/>
  <c r="AK456" i="5"/>
  <c r="AK135" i="5"/>
  <c r="AL135" i="5"/>
  <c r="AK310" i="5"/>
  <c r="AL310" i="5"/>
  <c r="AK347" i="5"/>
  <c r="AL347" i="5"/>
  <c r="AL39" i="5"/>
  <c r="AK39" i="5"/>
  <c r="AK197" i="5"/>
  <c r="AL197" i="5"/>
  <c r="AK368" i="5"/>
  <c r="AL368" i="5"/>
  <c r="AK538" i="5"/>
  <c r="AL538" i="5"/>
  <c r="AK477" i="5"/>
  <c r="AL477" i="5"/>
  <c r="AK415" i="5"/>
  <c r="AL415" i="5"/>
  <c r="AL266" i="5"/>
  <c r="AK266" i="5"/>
  <c r="AK395" i="5"/>
  <c r="AL395" i="5"/>
  <c r="AK331" i="5"/>
  <c r="AL331" i="5"/>
  <c r="AK213" i="5"/>
  <c r="AL213" i="5"/>
  <c r="AL527" i="5"/>
  <c r="AK527" i="5"/>
  <c r="AL475" i="5"/>
  <c r="AK475" i="5"/>
  <c r="AK367" i="5"/>
  <c r="AL367" i="5"/>
  <c r="AK287" i="5"/>
  <c r="AL287" i="5"/>
  <c r="AL305" i="5"/>
  <c r="AK305" i="5"/>
  <c r="AL250" i="5"/>
  <c r="AK250" i="5"/>
  <c r="AL178" i="5"/>
  <c r="AK178" i="5"/>
  <c r="AK214" i="5"/>
  <c r="AL214" i="5"/>
  <c r="AK99" i="5"/>
  <c r="AL99" i="5"/>
  <c r="AL284" i="5"/>
  <c r="AK284" i="5"/>
  <c r="AL215" i="5"/>
  <c r="AK215" i="5"/>
  <c r="AL170" i="5"/>
  <c r="AK170" i="5"/>
  <c r="AK50" i="5"/>
  <c r="AL50" i="5"/>
  <c r="AL306" i="5"/>
  <c r="AK306" i="5"/>
  <c r="AK23" i="5"/>
  <c r="AL23" i="5"/>
  <c r="AL511" i="5"/>
  <c r="AK511" i="5"/>
  <c r="AK398" i="5"/>
  <c r="AL398" i="5"/>
  <c r="AK343" i="5"/>
  <c r="AL343" i="5"/>
  <c r="AL227" i="5"/>
  <c r="AK227" i="5"/>
  <c r="AL278" i="5"/>
  <c r="AK278" i="5"/>
  <c r="AL234" i="5"/>
  <c r="AK234" i="5"/>
  <c r="AK30" i="5"/>
  <c r="AL30" i="5"/>
  <c r="AK190" i="5"/>
  <c r="AL190" i="5"/>
  <c r="AL326" i="5"/>
  <c r="AK326" i="5"/>
  <c r="AK259" i="5"/>
  <c r="AL259" i="5"/>
  <c r="AK189" i="5"/>
  <c r="AL189" i="5"/>
  <c r="AK133" i="5"/>
  <c r="AL133" i="5"/>
  <c r="AK157" i="5"/>
  <c r="AL157" i="5"/>
  <c r="AK209" i="5"/>
  <c r="AL209" i="5"/>
  <c r="AK514" i="5"/>
  <c r="AL514" i="5"/>
  <c r="AL451" i="5"/>
  <c r="AK451" i="5"/>
  <c r="AL389" i="5"/>
  <c r="AK389" i="5"/>
  <c r="AL433" i="5"/>
  <c r="AK433" i="5"/>
  <c r="AL365" i="5"/>
  <c r="AK365" i="5"/>
  <c r="AL301" i="5"/>
  <c r="AK301" i="5"/>
  <c r="AL559" i="5"/>
  <c r="AK559" i="5"/>
  <c r="AK509" i="5"/>
  <c r="AL509" i="5"/>
  <c r="AK396" i="5"/>
  <c r="AL396" i="5"/>
  <c r="AK339" i="5"/>
  <c r="AL339" i="5"/>
  <c r="AK194" i="5"/>
  <c r="AL194" i="5"/>
  <c r="AL276" i="5"/>
  <c r="AK276" i="5"/>
  <c r="AL231" i="5"/>
  <c r="AK231" i="5"/>
  <c r="AK20" i="5"/>
  <c r="AL20" i="5"/>
  <c r="AK186" i="5"/>
  <c r="AL186" i="5"/>
  <c r="AK319" i="5"/>
  <c r="AL319" i="5"/>
  <c r="AK255" i="5"/>
  <c r="AL255" i="5"/>
  <c r="AK185" i="5"/>
  <c r="AL185" i="5"/>
  <c r="AK129" i="5"/>
  <c r="AL129" i="5"/>
  <c r="AK141" i="5"/>
  <c r="AL141" i="5"/>
  <c r="AL38" i="5"/>
  <c r="AK38" i="5"/>
  <c r="AK358" i="5"/>
  <c r="AL358" i="5"/>
  <c r="AL448" i="5"/>
  <c r="AK448" i="5"/>
  <c r="AL69" i="5"/>
  <c r="AK69" i="5"/>
  <c r="AK103" i="5"/>
  <c r="AL103" i="5"/>
  <c r="AK505" i="5"/>
  <c r="AL505" i="5"/>
  <c r="AL26" i="5"/>
  <c r="AK26" i="5"/>
  <c r="AK122" i="5"/>
  <c r="AL122" i="5"/>
  <c r="AL460" i="5"/>
  <c r="AK460" i="5"/>
  <c r="AL440" i="5"/>
  <c r="AK440" i="5"/>
  <c r="AL472" i="5"/>
  <c r="AK472" i="5"/>
  <c r="AK328" i="5"/>
  <c r="AL328" i="5"/>
  <c r="AK226" i="5"/>
  <c r="AL226" i="5"/>
  <c r="AL81" i="5"/>
  <c r="AK81" i="5"/>
  <c r="AK285" i="5"/>
  <c r="AL285" i="5"/>
  <c r="AL479" i="5"/>
  <c r="AK479" i="5"/>
  <c r="AL502" i="5"/>
  <c r="AK502" i="5"/>
  <c r="AL469" i="5"/>
  <c r="AK469" i="5"/>
  <c r="AK53" i="5"/>
  <c r="AL53" i="5"/>
  <c r="AK488" i="5"/>
  <c r="AL488" i="5"/>
  <c r="AK341" i="5"/>
  <c r="AL341" i="5"/>
  <c r="AK265" i="5"/>
  <c r="AL265" i="5"/>
  <c r="AL493" i="5"/>
  <c r="AK493" i="5"/>
  <c r="AK298" i="5"/>
  <c r="AL298" i="5"/>
  <c r="AL249" i="5"/>
  <c r="AK249" i="5"/>
  <c r="AL379" i="5"/>
  <c r="AK379" i="5"/>
  <c r="AK320" i="5"/>
  <c r="AL320" i="5"/>
  <c r="AL229" i="5"/>
  <c r="AK229" i="5"/>
  <c r="AK228" i="5"/>
  <c r="AL228" i="5"/>
  <c r="AK82" i="5"/>
  <c r="AL82" i="5"/>
  <c r="AL464" i="5"/>
  <c r="AK464" i="5"/>
  <c r="AL294" i="5"/>
  <c r="AK294" i="5"/>
  <c r="AK76" i="5"/>
  <c r="AL76" i="5"/>
  <c r="AL275" i="5"/>
  <c r="AK275" i="5"/>
  <c r="AK34" i="5"/>
  <c r="AL34" i="5"/>
  <c r="AL530" i="5"/>
  <c r="AK530" i="5"/>
  <c r="AK253" i="5"/>
  <c r="AL253" i="5"/>
  <c r="AK127" i="5"/>
  <c r="AL127" i="5"/>
  <c r="AL355" i="5"/>
  <c r="AK355" i="5"/>
  <c r="AK292" i="5"/>
  <c r="AL292" i="5"/>
  <c r="AL202" i="5"/>
  <c r="AK202" i="5"/>
  <c r="AK270" i="5"/>
  <c r="AL270" i="5"/>
  <c r="AK29" i="5"/>
  <c r="AL29" i="5"/>
  <c r="AL68" i="5"/>
  <c r="AK68" i="5"/>
  <c r="AL369" i="5"/>
  <c r="AK369" i="5"/>
  <c r="AK155" i="5"/>
  <c r="AL155" i="5"/>
  <c r="AL48" i="5"/>
  <c r="AK48" i="5"/>
  <c r="AL391" i="5"/>
  <c r="AK391" i="5"/>
  <c r="AK94" i="5"/>
  <c r="AL94" i="5"/>
  <c r="AK557" i="5"/>
  <c r="AL557" i="5"/>
  <c r="AK384" i="5"/>
  <c r="AL384" i="5"/>
  <c r="AK390" i="5"/>
  <c r="AL390" i="5"/>
  <c r="AL96" i="5"/>
  <c r="AK96" i="5"/>
  <c r="AK47" i="5"/>
  <c r="AL47" i="5"/>
  <c r="AK382" i="5"/>
  <c r="AL382" i="5"/>
  <c r="AK295" i="5"/>
  <c r="AL295" i="5"/>
  <c r="AL330" i="5"/>
  <c r="AK330" i="5"/>
  <c r="AK118" i="5"/>
  <c r="AL118" i="5"/>
  <c r="AK522" i="5"/>
  <c r="AL522" i="5"/>
  <c r="AK537" i="5"/>
  <c r="AL537" i="5"/>
  <c r="AK405" i="5"/>
  <c r="AL405" i="5"/>
  <c r="AK113" i="5"/>
  <c r="AL113" i="5"/>
  <c r="AK35" i="5"/>
  <c r="AL35" i="5"/>
  <c r="AK126" i="5"/>
  <c r="AL126" i="5"/>
  <c r="AL8" i="5"/>
  <c r="AK8" i="5"/>
  <c r="AL54" i="5"/>
  <c r="AK54" i="5"/>
  <c r="AK414" i="5"/>
  <c r="AL414" i="5"/>
  <c r="AK518" i="5"/>
  <c r="AL518" i="5"/>
  <c r="AK364" i="5"/>
  <c r="AL364" i="5"/>
  <c r="AK482" i="5"/>
  <c r="AL482" i="5"/>
  <c r="AK338" i="5"/>
  <c r="AL338" i="5"/>
  <c r="AK521" i="5"/>
  <c r="AL521" i="5"/>
  <c r="AK445" i="5"/>
  <c r="AL445" i="5"/>
  <c r="AK536" i="5"/>
  <c r="AL536" i="5"/>
  <c r="AK411" i="5"/>
  <c r="AL411" i="5"/>
  <c r="AK392" i="5"/>
  <c r="AL392" i="5"/>
  <c r="AL535" i="5"/>
  <c r="AK535" i="5"/>
  <c r="AL316" i="5"/>
  <c r="AK316" i="5"/>
  <c r="AL123" i="5"/>
  <c r="AK123" i="5"/>
  <c r="AL80" i="5"/>
  <c r="AK80" i="5"/>
  <c r="AK106" i="5"/>
  <c r="AL106" i="5"/>
  <c r="AL70" i="5"/>
  <c r="AK70" i="5"/>
  <c r="AK457" i="5"/>
  <c r="AL457" i="5"/>
  <c r="AK534" i="5"/>
  <c r="AL534" i="5"/>
  <c r="AK404" i="5"/>
  <c r="AL404" i="5"/>
  <c r="AL545" i="5"/>
  <c r="AK545" i="5"/>
  <c r="AL362" i="5"/>
  <c r="AK362" i="5"/>
  <c r="AK549" i="5"/>
  <c r="AL549" i="5"/>
  <c r="AL471" i="5"/>
  <c r="AK471" i="5"/>
  <c r="AK550" i="5"/>
  <c r="AL550" i="5"/>
  <c r="AL439" i="5"/>
  <c r="AK439" i="5"/>
  <c r="AL421" i="5"/>
  <c r="AK421" i="5"/>
  <c r="AK205" i="5"/>
  <c r="AL205" i="5"/>
  <c r="AK282" i="5"/>
  <c r="AL282" i="5"/>
  <c r="AK210" i="5"/>
  <c r="AL210" i="5"/>
  <c r="AL168" i="5"/>
  <c r="AK168" i="5"/>
  <c r="AK79" i="5"/>
  <c r="AL79" i="5"/>
  <c r="AK191" i="5"/>
  <c r="AL191" i="5"/>
  <c r="AL124" i="5"/>
  <c r="AK124" i="5"/>
  <c r="AK31" i="5"/>
  <c r="AL31" i="5"/>
  <c r="AK444" i="5"/>
  <c r="AL444" i="5"/>
  <c r="AL526" i="5"/>
  <c r="AK526" i="5"/>
  <c r="AL380" i="5"/>
  <c r="AK380" i="5"/>
  <c r="AK528" i="5"/>
  <c r="AL528" i="5"/>
  <c r="AL354" i="5"/>
  <c r="AK354" i="5"/>
  <c r="AL541" i="5"/>
  <c r="AK541" i="5"/>
  <c r="AL458" i="5"/>
  <c r="AK458" i="5"/>
  <c r="AK544" i="5"/>
  <c r="AL544" i="5"/>
  <c r="AK427" i="5"/>
  <c r="AL427" i="5"/>
  <c r="AL409" i="5"/>
  <c r="AK409" i="5"/>
  <c r="AK60" i="5"/>
  <c r="AL60" i="5"/>
  <c r="AK237" i="5"/>
  <c r="AL237" i="5"/>
  <c r="AK192" i="5"/>
  <c r="AL192" i="5"/>
  <c r="AL150" i="5"/>
  <c r="AK150" i="5"/>
  <c r="AL336" i="5"/>
  <c r="AK336" i="5"/>
  <c r="AK524" i="5"/>
  <c r="AL524" i="5"/>
  <c r="AL461" i="5"/>
  <c r="AK461" i="5"/>
  <c r="AL399" i="5"/>
  <c r="AK399" i="5"/>
  <c r="AK232" i="5"/>
  <c r="AL232" i="5"/>
  <c r="AK381" i="5"/>
  <c r="AL381" i="5"/>
  <c r="AL314" i="5"/>
  <c r="AK314" i="5"/>
  <c r="AL95" i="5"/>
  <c r="AK95" i="5"/>
  <c r="AL517" i="5"/>
  <c r="AK517" i="5"/>
  <c r="AL459" i="5"/>
  <c r="AK459" i="5"/>
  <c r="AL351" i="5"/>
  <c r="AK351" i="5"/>
  <c r="AK247" i="5"/>
  <c r="AL247" i="5"/>
  <c r="AL289" i="5"/>
  <c r="AK289" i="5"/>
  <c r="AK241" i="5"/>
  <c r="AL241" i="5"/>
  <c r="AK57" i="5"/>
  <c r="AL57" i="5"/>
  <c r="AL198" i="5"/>
  <c r="AK198" i="5"/>
  <c r="AL46" i="5"/>
  <c r="AK46" i="5"/>
  <c r="AL268" i="5"/>
  <c r="AK268" i="5"/>
  <c r="AL199" i="5"/>
  <c r="AK199" i="5"/>
  <c r="AL154" i="5"/>
  <c r="AK154" i="5"/>
  <c r="AK173" i="5"/>
  <c r="AL173" i="5"/>
  <c r="AK274" i="5"/>
  <c r="AL274" i="5"/>
  <c r="AK547" i="5"/>
  <c r="AL547" i="5"/>
  <c r="AK496" i="5"/>
  <c r="AL496" i="5"/>
  <c r="AK388" i="5"/>
  <c r="AL388" i="5"/>
  <c r="AK325" i="5"/>
  <c r="AL325" i="5"/>
  <c r="AK119" i="5"/>
  <c r="AL119" i="5"/>
  <c r="AL262" i="5"/>
  <c r="AK262" i="5"/>
  <c r="AK216" i="5"/>
  <c r="AL216" i="5"/>
  <c r="AK238" i="5"/>
  <c r="AL238" i="5"/>
  <c r="AL148" i="5"/>
  <c r="AK148" i="5"/>
  <c r="AL307" i="5"/>
  <c r="AK307" i="5"/>
  <c r="AK239" i="5"/>
  <c r="AL239" i="5"/>
  <c r="AK89" i="5"/>
  <c r="AL89" i="5"/>
  <c r="AK101" i="5"/>
  <c r="AL101" i="5"/>
  <c r="AK59" i="5"/>
  <c r="AL59" i="5"/>
  <c r="AK548" i="5"/>
  <c r="AL548" i="5"/>
  <c r="AK499" i="5"/>
  <c r="AL499" i="5"/>
  <c r="AL435" i="5"/>
  <c r="AK435" i="5"/>
  <c r="AK303" i="5"/>
  <c r="AL303" i="5"/>
  <c r="AL417" i="5"/>
  <c r="AK417" i="5"/>
  <c r="AK349" i="5"/>
  <c r="AL349" i="5"/>
  <c r="AL269" i="5"/>
  <c r="AK269" i="5"/>
  <c r="AK543" i="5"/>
  <c r="AL543" i="5"/>
  <c r="AK494" i="5"/>
  <c r="AL494" i="5"/>
  <c r="AL383" i="5"/>
  <c r="AK383" i="5"/>
  <c r="AK321" i="5"/>
  <c r="AL321" i="5"/>
  <c r="AK324" i="5"/>
  <c r="AL324" i="5"/>
  <c r="AK260" i="5"/>
  <c r="AL260" i="5"/>
  <c r="AL212" i="5"/>
  <c r="AK212" i="5"/>
  <c r="AK235" i="5"/>
  <c r="AL235" i="5"/>
  <c r="AL139" i="5"/>
  <c r="AK139" i="5"/>
  <c r="AK302" i="5"/>
  <c r="AL302" i="5"/>
  <c r="AL233" i="5"/>
  <c r="AK233" i="5"/>
  <c r="AL62" i="5"/>
  <c r="AK62" i="5"/>
  <c r="AK97" i="5"/>
  <c r="AL97" i="5"/>
  <c r="AK33" i="5"/>
  <c r="AL33" i="5"/>
  <c r="AL432" i="5"/>
  <c r="AK432" i="5"/>
  <c r="AK88" i="5"/>
  <c r="AL88" i="5"/>
  <c r="AK280" i="5"/>
  <c r="AL280" i="5"/>
  <c r="AK19" i="5"/>
  <c r="AL19" i="5"/>
  <c r="AK137" i="5"/>
  <c r="AL137" i="5"/>
  <c r="AK542" i="5"/>
  <c r="AL542" i="5"/>
  <c r="AK74" i="5"/>
  <c r="AL74" i="5"/>
  <c r="AK149" i="5"/>
  <c r="AL149" i="5"/>
  <c r="AK272" i="5"/>
  <c r="AL272" i="5"/>
  <c r="AK418" i="5"/>
  <c r="AL418" i="5"/>
  <c r="AK360" i="5"/>
  <c r="AL360" i="5"/>
  <c r="AK261" i="5"/>
  <c r="AL261" i="5"/>
  <c r="AK204" i="5"/>
  <c r="AL204" i="5"/>
  <c r="AK116" i="5"/>
  <c r="AL116" i="5"/>
  <c r="AK487" i="5"/>
  <c r="AL487" i="5"/>
  <c r="AL438" i="5"/>
  <c r="AK438" i="5"/>
  <c r="AL416" i="5"/>
  <c r="AK416" i="5"/>
  <c r="AK353" i="5"/>
  <c r="AL353" i="5"/>
  <c r="AK248" i="5"/>
  <c r="AL248" i="5"/>
  <c r="AK42" i="5"/>
  <c r="AL42" i="5"/>
  <c r="AK22" i="5"/>
  <c r="AL22" i="5"/>
  <c r="AL334" i="5"/>
  <c r="AK334" i="5"/>
  <c r="AL78" i="5"/>
  <c r="AK78" i="5"/>
  <c r="AL434" i="5"/>
  <c r="AK434" i="5"/>
  <c r="AL560" i="5"/>
  <c r="AK560" i="5"/>
  <c r="AL293" i="5"/>
  <c r="AK293" i="5"/>
  <c r="AL236" i="5"/>
  <c r="AK236" i="5"/>
  <c r="AK408" i="5"/>
  <c r="AL408" i="5"/>
  <c r="AL431" i="5"/>
  <c r="AK431" i="5"/>
  <c r="AK345" i="5"/>
  <c r="AL345" i="5"/>
  <c r="AK539" i="5"/>
  <c r="AL539" i="5"/>
  <c r="AK317" i="5"/>
  <c r="AL317" i="5"/>
  <c r="AL208" i="5"/>
  <c r="AK208" i="5"/>
  <c r="AL131" i="5"/>
  <c r="AK131" i="5"/>
  <c r="AL52" i="5"/>
  <c r="AK52" i="5"/>
  <c r="AK523" i="5"/>
  <c r="AL523" i="5"/>
  <c r="AK277" i="5"/>
  <c r="AL277" i="5"/>
  <c r="AL246" i="5"/>
  <c r="AK246" i="5"/>
  <c r="AL73" i="5"/>
  <c r="AK73" i="5"/>
  <c r="AL162" i="5"/>
  <c r="AK162" i="5"/>
  <c r="AL344" i="5"/>
  <c r="AK344" i="5"/>
  <c r="AL403" i="5"/>
  <c r="AK403" i="5"/>
  <c r="AL318" i="5"/>
  <c r="AK318" i="5"/>
  <c r="AK519" i="5"/>
  <c r="AL519" i="5"/>
  <c r="AL264" i="5"/>
  <c r="AK264" i="5"/>
  <c r="AL67" i="5"/>
  <c r="AK67" i="5"/>
  <c r="AL55" i="5"/>
  <c r="AK55" i="5"/>
  <c r="AK203" i="5"/>
  <c r="AL203" i="5"/>
  <c r="AL497" i="5"/>
  <c r="AK497" i="5"/>
  <c r="AK340" i="5"/>
  <c r="AL340" i="5"/>
  <c r="AL446" i="5"/>
  <c r="AK446" i="5"/>
  <c r="AK183" i="5"/>
  <c r="AL183" i="5"/>
  <c r="AK311" i="5"/>
  <c r="AL311" i="5"/>
  <c r="AL145" i="5"/>
  <c r="AK145" i="5"/>
  <c r="AK426" i="5"/>
  <c r="AL426" i="5"/>
  <c r="AL486" i="5"/>
  <c r="AK486" i="5"/>
  <c r="AK220" i="5"/>
  <c r="AL220" i="5"/>
  <c r="AK58" i="5"/>
  <c r="AL58" i="5"/>
  <c r="AK498" i="5"/>
  <c r="AL498" i="5"/>
  <c r="AK386" i="5"/>
  <c r="AL386" i="5"/>
  <c r="AL454" i="5"/>
  <c r="AK454" i="5"/>
  <c r="AK240" i="5"/>
  <c r="AL240" i="5"/>
  <c r="AL167" i="5"/>
  <c r="AK167" i="5"/>
  <c r="AL372" i="5"/>
  <c r="AK372" i="5"/>
  <c r="AK449" i="5"/>
  <c r="AL449" i="5"/>
  <c r="AL551" i="5"/>
  <c r="AK551" i="5"/>
  <c r="AK72" i="5"/>
  <c r="AL72" i="5"/>
  <c r="AK51" i="5"/>
  <c r="AL51" i="5"/>
  <c r="AK90" i="5"/>
  <c r="AL90" i="5"/>
  <c r="AK108" i="5"/>
  <c r="AL108" i="5"/>
  <c r="AL128" i="5"/>
  <c r="AK128" i="5"/>
  <c r="AK350" i="5"/>
  <c r="AL350" i="5"/>
  <c r="AL492" i="5"/>
  <c r="AK492" i="5"/>
  <c r="AK304" i="5"/>
  <c r="AL304" i="5"/>
  <c r="AK442" i="5"/>
  <c r="AL442" i="5"/>
  <c r="AK41" i="5"/>
  <c r="AL41" i="5"/>
  <c r="AK473" i="5"/>
  <c r="AL473" i="5"/>
  <c r="AL424" i="5"/>
  <c r="AK424" i="5"/>
  <c r="AL504" i="5"/>
  <c r="AK504" i="5"/>
  <c r="AL332" i="5"/>
  <c r="AK332" i="5"/>
  <c r="AL357" i="5"/>
  <c r="AK357" i="5"/>
  <c r="AK485" i="5"/>
  <c r="AL485" i="5"/>
  <c r="AL256" i="5"/>
  <c r="AK256" i="5"/>
  <c r="AL297" i="5"/>
  <c r="AK297" i="5"/>
  <c r="AK98" i="5"/>
  <c r="AL98" i="5"/>
  <c r="AL104" i="5"/>
  <c r="AK104" i="5"/>
  <c r="AL187" i="5"/>
  <c r="AK187" i="5"/>
  <c r="AK397" i="5"/>
  <c r="AL397" i="5"/>
  <c r="AL510" i="5"/>
  <c r="AK510" i="5"/>
  <c r="AK356" i="5"/>
  <c r="AL356" i="5"/>
  <c r="AL468" i="5"/>
  <c r="AK468" i="5"/>
  <c r="AL329" i="5"/>
  <c r="AK329" i="5"/>
  <c r="AK512" i="5"/>
  <c r="AL512" i="5"/>
  <c r="AK441" i="5"/>
  <c r="AL441" i="5"/>
  <c r="AL532" i="5"/>
  <c r="AK532" i="5"/>
  <c r="AK407" i="5"/>
  <c r="AL407" i="5"/>
  <c r="AK387" i="5"/>
  <c r="AL387" i="5"/>
  <c r="AK525" i="5"/>
  <c r="AL525" i="5"/>
  <c r="AL299" i="5"/>
  <c r="AK299" i="5"/>
  <c r="AK83" i="5"/>
  <c r="AL83" i="5"/>
  <c r="AK45" i="5"/>
  <c r="AL45" i="5"/>
  <c r="AL100" i="5"/>
  <c r="AK100" i="5"/>
  <c r="AL130" i="5"/>
  <c r="AK130" i="5"/>
  <c r="AK132" i="5"/>
  <c r="AL132" i="5"/>
  <c r="AK136" i="5"/>
  <c r="AL136" i="5"/>
  <c r="AK366" i="5"/>
  <c r="AL366" i="5"/>
  <c r="AK506" i="5"/>
  <c r="AL506" i="5"/>
  <c r="AK348" i="5"/>
  <c r="AL348" i="5"/>
  <c r="AK450" i="5"/>
  <c r="AL450" i="5"/>
  <c r="AK263" i="5"/>
  <c r="AL263" i="5"/>
  <c r="AL500" i="5"/>
  <c r="AK500" i="5"/>
  <c r="AK437" i="5"/>
  <c r="AL437" i="5"/>
  <c r="AL520" i="5"/>
  <c r="AK520" i="5"/>
  <c r="AL393" i="5"/>
  <c r="AK393" i="5"/>
  <c r="AL373" i="5"/>
  <c r="AK373" i="5"/>
  <c r="AK513" i="5"/>
  <c r="AL513" i="5"/>
  <c r="AL283" i="5"/>
  <c r="AK283" i="5"/>
  <c r="AK36" i="5"/>
  <c r="AL36" i="5"/>
  <c r="AK161" i="5"/>
  <c r="AL161" i="5"/>
  <c r="AL144" i="5"/>
  <c r="AK144" i="5"/>
  <c r="AL508" i="5"/>
  <c r="AK508" i="5"/>
  <c r="AK447" i="5"/>
  <c r="AL447" i="5"/>
  <c r="AK378" i="5"/>
  <c r="AL378" i="5"/>
  <c r="AK429" i="5"/>
  <c r="AL429" i="5"/>
  <c r="AL361" i="5"/>
  <c r="AK361" i="5"/>
  <c r="AK288" i="5"/>
  <c r="AL288" i="5"/>
  <c r="AL555" i="5"/>
  <c r="AK555" i="5"/>
  <c r="AK507" i="5"/>
  <c r="AL507" i="5"/>
  <c r="AK394" i="5"/>
  <c r="AL394" i="5"/>
  <c r="AK335" i="5"/>
  <c r="AL335" i="5"/>
  <c r="AK179" i="5"/>
  <c r="AL179" i="5"/>
  <c r="AK273" i="5"/>
  <c r="AL273" i="5"/>
  <c r="AK225" i="5"/>
  <c r="AL225" i="5"/>
  <c r="AK242" i="5"/>
  <c r="AL242" i="5"/>
  <c r="AK182" i="5"/>
  <c r="AL182" i="5"/>
  <c r="AL315" i="5"/>
  <c r="AK315" i="5"/>
  <c r="AK251" i="5"/>
  <c r="AL251" i="5"/>
  <c r="AK181" i="5"/>
  <c r="AL181" i="5"/>
  <c r="AK117" i="5"/>
  <c r="AL117" i="5"/>
  <c r="AK91" i="5"/>
  <c r="AL91" i="5"/>
  <c r="AK230" i="5"/>
  <c r="AL230" i="5"/>
  <c r="AK533" i="5"/>
  <c r="AL533" i="5"/>
  <c r="AL480" i="5"/>
  <c r="AK480" i="5"/>
  <c r="AL375" i="5"/>
  <c r="AK375" i="5"/>
  <c r="AL309" i="5"/>
  <c r="AK309" i="5"/>
  <c r="AL312" i="5"/>
  <c r="AK312" i="5"/>
  <c r="AL254" i="5"/>
  <c r="AK254" i="5"/>
  <c r="AK200" i="5"/>
  <c r="AL200" i="5"/>
  <c r="AK222" i="5"/>
  <c r="AL222" i="5"/>
  <c r="AK115" i="5"/>
  <c r="AL115" i="5"/>
  <c r="AK291" i="5"/>
  <c r="AL291" i="5"/>
  <c r="AL223" i="5"/>
  <c r="AK223" i="5"/>
  <c r="AK180" i="5"/>
  <c r="AL180" i="5"/>
  <c r="AK66" i="5"/>
  <c r="AL66" i="5"/>
  <c r="AL376" i="5"/>
  <c r="AK376" i="5"/>
  <c r="AL540" i="5"/>
  <c r="AK540" i="5"/>
  <c r="AL483" i="5"/>
  <c r="AK483" i="5"/>
  <c r="AK419" i="5"/>
  <c r="AL419" i="5"/>
  <c r="AL271" i="5"/>
  <c r="AK271" i="5"/>
  <c r="AK401" i="5"/>
  <c r="AL401" i="5"/>
  <c r="AL333" i="5"/>
  <c r="AK333" i="5"/>
  <c r="AK221" i="5"/>
  <c r="AL221" i="5"/>
  <c r="AK529" i="5"/>
  <c r="AL529" i="5"/>
  <c r="AL478" i="5"/>
  <c r="AK478" i="5"/>
  <c r="AK371" i="5"/>
  <c r="AL371" i="5"/>
  <c r="AK296" i="5"/>
  <c r="AL296" i="5"/>
  <c r="AL308" i="5"/>
  <c r="AK308" i="5"/>
  <c r="AL252" i="5"/>
  <c r="AK252" i="5"/>
  <c r="AK193" i="5"/>
  <c r="AL193" i="5"/>
  <c r="AK218" i="5"/>
  <c r="AL218" i="5"/>
  <c r="AK107" i="5"/>
  <c r="AL107" i="5"/>
  <c r="AL286" i="5"/>
  <c r="AK286" i="5"/>
  <c r="AL219" i="5"/>
  <c r="AK219" i="5"/>
  <c r="AL176" i="5"/>
  <c r="AK176" i="5"/>
  <c r="AL64" i="5"/>
  <c r="AK64" i="5"/>
  <c r="B47" i="2"/>
  <c r="B42" i="5" s="1"/>
  <c r="H20" i="1"/>
  <c r="G21" i="1"/>
  <c r="I23" i="1"/>
  <c r="I22" i="1"/>
  <c r="K25" i="2"/>
  <c r="BD222" i="5" l="1"/>
  <c r="AL12" i="5"/>
  <c r="BD287" i="5"/>
  <c r="AU12" i="5"/>
  <c r="V12" i="5"/>
  <c r="AY12" i="5"/>
  <c r="BE55" i="5"/>
  <c r="BE237" i="5"/>
  <c r="BC12" i="5"/>
  <c r="BE12" i="5" s="1"/>
  <c r="BE127" i="5"/>
  <c r="BD98" i="5"/>
  <c r="BD100" i="5"/>
  <c r="BE7" i="5"/>
  <c r="BE48" i="5"/>
  <c r="BE114" i="5"/>
  <c r="BD78" i="5"/>
  <c r="BD35" i="5"/>
  <c r="BE53" i="5"/>
  <c r="BD59" i="5"/>
  <c r="BE198" i="5"/>
  <c r="BE133" i="5"/>
  <c r="BD86" i="5"/>
  <c r="BE82" i="5"/>
  <c r="BE195" i="5"/>
  <c r="BE462" i="5"/>
  <c r="BD214" i="5"/>
  <c r="BD264" i="5"/>
  <c r="BD560" i="5"/>
  <c r="BE22" i="5"/>
  <c r="BE144" i="5"/>
  <c r="BE219" i="5"/>
  <c r="BE45" i="5"/>
  <c r="BE316" i="5"/>
  <c r="BE83" i="5"/>
  <c r="BD269" i="5"/>
  <c r="BD180" i="5"/>
  <c r="BE38" i="5"/>
  <c r="BE51" i="5"/>
  <c r="BE537" i="5"/>
  <c r="BD130" i="5"/>
  <c r="BD164" i="5"/>
  <c r="BD315" i="5"/>
  <c r="BD305" i="5"/>
  <c r="BD262" i="5"/>
  <c r="BE299" i="5"/>
  <c r="BE27" i="5"/>
  <c r="BD64" i="5"/>
  <c r="BE44" i="5"/>
  <c r="BE283" i="5"/>
  <c r="BD112" i="5"/>
  <c r="BD223" i="5"/>
  <c r="BE41" i="5"/>
  <c r="BD191" i="5"/>
  <c r="BE296" i="5"/>
  <c r="BE8" i="5"/>
  <c r="BD352" i="5"/>
  <c r="BE230" i="5"/>
  <c r="BE156" i="5"/>
  <c r="BD156" i="5"/>
  <c r="BE208" i="5"/>
  <c r="BD208" i="5"/>
  <c r="BE103" i="5"/>
  <c r="BE246" i="5"/>
  <c r="BE533" i="5"/>
  <c r="BD263" i="5"/>
  <c r="BE68" i="5"/>
  <c r="BD68" i="5"/>
  <c r="BE476" i="5"/>
  <c r="BD476" i="5"/>
  <c r="BE81" i="5"/>
  <c r="BD81" i="5"/>
  <c r="BE31" i="5"/>
  <c r="BD31" i="5"/>
  <c r="BE290" i="5"/>
  <c r="BD290" i="5"/>
  <c r="BD295" i="5"/>
  <c r="BE295" i="5"/>
  <c r="BD346" i="5"/>
  <c r="BE346" i="5"/>
  <c r="BE235" i="5"/>
  <c r="BD235" i="5"/>
  <c r="BD284" i="5"/>
  <c r="BE284" i="5"/>
  <c r="BE559" i="5"/>
  <c r="BD559" i="5"/>
  <c r="BD183" i="5"/>
  <c r="BE183" i="5"/>
  <c r="BD159" i="5"/>
  <c r="BE159" i="5"/>
  <c r="BE119" i="5"/>
  <c r="BD158" i="5"/>
  <c r="BE453" i="5"/>
  <c r="BD66" i="5"/>
  <c r="BD369" i="5"/>
  <c r="BE306" i="5"/>
  <c r="BE236" i="5"/>
  <c r="BD470" i="5"/>
  <c r="BD387" i="5"/>
  <c r="BE387" i="5"/>
  <c r="BD487" i="5"/>
  <c r="BE487" i="5"/>
  <c r="BD209" i="5"/>
  <c r="BE209" i="5"/>
  <c r="BE298" i="5"/>
  <c r="BD298" i="5"/>
  <c r="BD437" i="5"/>
  <c r="BE437" i="5"/>
  <c r="BD213" i="5"/>
  <c r="BE213" i="5"/>
  <c r="BD206" i="5"/>
  <c r="BE206" i="5"/>
  <c r="BE211" i="5"/>
  <c r="BD211" i="5"/>
  <c r="BD152" i="5"/>
  <c r="BE152" i="5"/>
  <c r="BE225" i="5"/>
  <c r="BD225" i="5"/>
  <c r="BD101" i="5"/>
  <c r="BE101" i="5"/>
  <c r="BE273" i="5"/>
  <c r="BD273" i="5"/>
  <c r="BD360" i="5"/>
  <c r="BE360" i="5"/>
  <c r="BE92" i="5"/>
  <c r="BD92" i="5"/>
  <c r="BE52" i="5"/>
  <c r="BD52" i="5"/>
  <c r="BE189" i="5"/>
  <c r="BD189" i="5"/>
  <c r="BE30" i="5"/>
  <c r="BD30" i="5"/>
  <c r="BD24" i="5"/>
  <c r="BE24" i="5"/>
  <c r="BD39" i="5"/>
  <c r="BE39" i="5"/>
  <c r="BE268" i="5"/>
  <c r="BD268" i="5"/>
  <c r="BD60" i="5"/>
  <c r="BE60" i="5"/>
  <c r="BE241" i="5"/>
  <c r="BD241" i="5"/>
  <c r="BD169" i="5"/>
  <c r="BE169" i="5"/>
  <c r="BE131" i="5"/>
  <c r="BD131" i="5"/>
  <c r="BD238" i="5"/>
  <c r="BE238" i="5"/>
  <c r="BD116" i="5"/>
  <c r="BE116" i="5"/>
  <c r="BE227" i="5"/>
  <c r="BD227" i="5"/>
  <c r="BE313" i="5"/>
  <c r="BD313" i="5"/>
  <c r="BD172" i="5"/>
  <c r="BE172" i="5"/>
  <c r="BE324" i="5"/>
  <c r="BD324" i="5"/>
  <c r="BD148" i="5"/>
  <c r="BE148" i="5"/>
  <c r="BD178" i="5"/>
  <c r="BE178" i="5"/>
  <c r="BE29" i="5"/>
  <c r="BD29" i="5"/>
  <c r="BD109" i="5"/>
  <c r="BE109" i="5"/>
  <c r="BE240" i="5"/>
  <c r="BD240" i="5"/>
  <c r="BD26" i="5"/>
  <c r="BE26" i="5"/>
  <c r="BE351" i="5"/>
  <c r="BD351" i="5"/>
  <c r="BD132" i="5"/>
  <c r="BE132" i="5"/>
  <c r="BE150" i="5"/>
  <c r="BD150" i="5"/>
  <c r="BD424" i="5"/>
  <c r="BE424" i="5"/>
  <c r="BD147" i="5"/>
  <c r="BE147" i="5"/>
  <c r="BE117" i="5"/>
  <c r="BD117" i="5"/>
  <c r="BD139" i="5"/>
  <c r="BE139" i="5"/>
  <c r="BE401" i="5"/>
  <c r="BD401" i="5"/>
  <c r="BE190" i="5"/>
  <c r="BD190" i="5"/>
  <c r="BD363" i="5"/>
  <c r="BE363" i="5"/>
  <c r="BE255" i="5"/>
  <c r="BD255" i="5"/>
  <c r="BE332" i="5"/>
  <c r="BD332" i="5"/>
  <c r="BD19" i="5"/>
  <c r="BE19" i="5"/>
  <c r="BD276" i="5"/>
  <c r="BE276" i="5"/>
  <c r="BD546" i="5"/>
  <c r="BE546" i="5"/>
  <c r="BE73" i="5"/>
  <c r="BD73" i="5"/>
  <c r="BD251" i="5"/>
  <c r="BE251" i="5"/>
  <c r="BD450" i="5"/>
  <c r="BE450" i="5"/>
  <c r="BD553" i="5"/>
  <c r="BE553" i="5"/>
  <c r="BE309" i="5"/>
  <c r="BD309" i="5"/>
  <c r="BE545" i="5"/>
  <c r="BD545" i="5"/>
  <c r="BE465" i="5"/>
  <c r="BD465" i="5"/>
  <c r="BD288" i="5"/>
  <c r="BE288" i="5"/>
  <c r="BE232" i="5"/>
  <c r="BD232" i="5"/>
  <c r="BD137" i="5"/>
  <c r="BE137" i="5"/>
  <c r="BE76" i="5"/>
  <c r="BD76" i="5"/>
  <c r="BD274" i="5"/>
  <c r="BE274" i="5"/>
  <c r="BD105" i="5"/>
  <c r="BE105" i="5"/>
  <c r="BE326" i="5"/>
  <c r="BD326" i="5"/>
  <c r="BE121" i="5"/>
  <c r="BD121" i="5"/>
  <c r="BE201" i="5"/>
  <c r="BD201" i="5"/>
  <c r="BD111" i="5"/>
  <c r="BE111" i="5"/>
  <c r="BE110" i="5"/>
  <c r="BD110" i="5"/>
  <c r="BE184" i="5"/>
  <c r="BD184" i="5"/>
  <c r="BE157" i="5"/>
  <c r="BD157" i="5"/>
  <c r="BE202" i="5"/>
  <c r="BD202" i="5"/>
  <c r="BE199" i="5"/>
  <c r="BD199" i="5"/>
  <c r="BD154" i="5"/>
  <c r="BE154" i="5"/>
  <c r="BE243" i="5"/>
  <c r="BD243" i="5"/>
  <c r="BE317" i="5"/>
  <c r="BD317" i="5"/>
  <c r="BD126" i="5"/>
  <c r="BE126" i="5"/>
  <c r="BD412" i="5"/>
  <c r="BE412" i="5"/>
  <c r="BD289" i="5"/>
  <c r="BE289" i="5"/>
  <c r="BD136" i="5"/>
  <c r="BE136" i="5"/>
  <c r="BE411" i="5"/>
  <c r="BD411" i="5"/>
  <c r="BD160" i="5"/>
  <c r="BE160" i="5"/>
  <c r="BD279" i="5"/>
  <c r="BE279" i="5"/>
  <c r="BE194" i="5"/>
  <c r="BD194" i="5"/>
  <c r="BD212" i="5"/>
  <c r="BE212" i="5"/>
  <c r="BE91" i="5"/>
  <c r="BD91" i="5"/>
  <c r="BD414" i="5"/>
  <c r="BE414" i="5"/>
  <c r="BD501" i="5"/>
  <c r="BE501" i="5"/>
  <c r="BD477" i="5"/>
  <c r="BE477" i="5"/>
  <c r="BD432" i="5"/>
  <c r="BE432" i="5"/>
  <c r="BD108" i="5"/>
  <c r="BE108" i="5"/>
  <c r="BD89" i="5"/>
  <c r="BE89" i="5"/>
  <c r="BE314" i="5"/>
  <c r="BD314" i="5"/>
  <c r="BE74" i="5"/>
  <c r="BD74" i="5"/>
  <c r="BE323" i="5"/>
  <c r="BD323" i="5"/>
  <c r="BD32" i="5"/>
  <c r="BE32" i="5"/>
  <c r="BE134" i="5"/>
  <c r="BD134" i="5"/>
  <c r="BE261" i="5"/>
  <c r="BD261" i="5"/>
  <c r="BD532" i="5"/>
  <c r="BE532" i="5"/>
  <c r="BE478" i="5"/>
  <c r="BD478" i="5"/>
  <c r="BD392" i="5"/>
  <c r="BE392" i="5"/>
  <c r="BD242" i="5"/>
  <c r="BE242" i="5"/>
  <c r="BD226" i="5"/>
  <c r="BE226" i="5"/>
  <c r="BD285" i="5"/>
  <c r="BE285" i="5"/>
  <c r="BD491" i="5"/>
  <c r="BE491" i="5"/>
  <c r="BD249" i="5"/>
  <c r="BE249" i="5"/>
  <c r="BD69" i="5"/>
  <c r="BE69" i="5"/>
  <c r="BE174" i="5"/>
  <c r="BD174" i="5"/>
  <c r="BE171" i="5"/>
  <c r="BD171" i="5"/>
  <c r="BE125" i="5"/>
  <c r="BD125" i="5"/>
  <c r="BD118" i="5"/>
  <c r="BE118" i="5"/>
  <c r="BD88" i="5"/>
  <c r="BE88" i="5"/>
  <c r="BD40" i="5"/>
  <c r="BE40" i="5"/>
  <c r="BD247" i="5"/>
  <c r="BE247" i="5"/>
  <c r="BD56" i="5"/>
  <c r="BE56" i="5"/>
  <c r="BD47" i="5"/>
  <c r="BE47" i="5"/>
  <c r="BD85" i="5"/>
  <c r="BE85" i="5"/>
  <c r="BE302" i="5"/>
  <c r="BD302" i="5"/>
  <c r="BE265" i="5"/>
  <c r="BD265" i="5"/>
  <c r="BD161" i="5"/>
  <c r="BE161" i="5"/>
  <c r="BD185" i="5"/>
  <c r="BE185" i="5"/>
  <c r="BD221" i="5"/>
  <c r="BE163" i="5"/>
  <c r="BE234" i="5"/>
  <c r="BD115" i="5"/>
  <c r="BE122" i="5"/>
  <c r="BD166" i="5"/>
  <c r="BD84" i="5"/>
  <c r="BD23" i="5"/>
  <c r="BE536" i="5"/>
  <c r="BD543" i="5"/>
  <c r="BE469" i="5"/>
  <c r="BE481" i="5"/>
  <c r="BD329" i="5"/>
  <c r="BD138" i="5"/>
  <c r="BE138" i="5"/>
  <c r="BD140" i="5"/>
  <c r="BE140" i="5"/>
  <c r="BE245" i="5"/>
  <c r="BD145" i="5"/>
  <c r="BE145" i="5"/>
  <c r="BE149" i="5"/>
  <c r="BD149" i="5"/>
  <c r="BE75" i="5"/>
  <c r="BD97" i="5"/>
  <c r="BE43" i="5"/>
  <c r="BD71" i="5"/>
  <c r="BE338" i="5"/>
  <c r="BE168" i="5"/>
  <c r="BD210" i="5"/>
  <c r="BD72" i="5"/>
  <c r="BE72" i="5"/>
  <c r="BE393" i="5"/>
  <c r="BE113" i="5"/>
  <c r="BE65" i="5"/>
  <c r="BE356" i="5"/>
  <c r="BE521" i="5"/>
  <c r="BD555" i="5"/>
  <c r="BD80" i="5"/>
  <c r="BE80" i="5"/>
  <c r="BE197" i="5"/>
  <c r="BD197" i="5"/>
  <c r="BD495" i="5"/>
  <c r="BD175" i="5"/>
  <c r="BE141" i="5"/>
  <c r="BE278" i="5"/>
  <c r="BE34" i="5"/>
  <c r="BE337" i="5"/>
  <c r="BD549" i="5"/>
  <c r="BE70" i="5"/>
  <c r="BD21" i="5"/>
  <c r="BE379" i="5"/>
  <c r="BD379" i="5"/>
  <c r="BE61" i="5"/>
  <c r="BD344" i="5"/>
  <c r="BE286" i="5"/>
  <c r="BD286" i="5"/>
  <c r="BD300" i="5"/>
  <c r="BE90" i="5"/>
  <c r="BD90" i="5"/>
  <c r="BE440" i="5"/>
  <c r="BD440" i="5"/>
  <c r="BD231" i="5"/>
  <c r="BD188" i="5"/>
  <c r="BE303" i="5"/>
  <c r="BD303" i="5"/>
  <c r="BE244" i="5"/>
  <c r="BD244" i="5"/>
  <c r="BE193" i="5"/>
  <c r="BD193" i="5"/>
  <c r="BD229" i="5"/>
  <c r="BE229" i="5"/>
  <c r="BD405" i="5"/>
  <c r="BE405" i="5"/>
  <c r="BD275" i="5"/>
  <c r="BE275" i="5"/>
  <c r="BE294" i="5"/>
  <c r="BD294" i="5"/>
  <c r="BE182" i="5"/>
  <c r="BD182" i="5"/>
  <c r="BE365" i="5"/>
  <c r="BD365" i="5"/>
  <c r="BE445" i="5"/>
  <c r="BD445" i="5"/>
  <c r="BE515" i="5"/>
  <c r="BD515" i="5"/>
  <c r="BE448" i="5"/>
  <c r="BD448" i="5"/>
  <c r="BD106" i="5"/>
  <c r="BE106" i="5"/>
  <c r="BD282" i="5"/>
  <c r="BE282" i="5"/>
  <c r="BD239" i="5"/>
  <c r="BE239" i="5"/>
  <c r="BE505" i="5"/>
  <c r="BD505" i="5"/>
  <c r="BD396" i="5"/>
  <c r="BE396" i="5"/>
  <c r="BE407" i="5"/>
  <c r="BD407" i="5"/>
  <c r="BD547" i="5"/>
  <c r="BE547" i="5"/>
  <c r="BE94" i="5"/>
  <c r="BD46" i="5"/>
  <c r="BE46" i="5"/>
  <c r="BE162" i="5"/>
  <c r="BD162" i="5"/>
  <c r="BD167" i="5"/>
  <c r="BE167" i="5"/>
  <c r="BE277" i="5"/>
  <c r="BD277" i="5"/>
  <c r="BD340" i="5"/>
  <c r="BE340" i="5"/>
  <c r="BD409" i="5"/>
  <c r="BE409" i="5"/>
  <c r="BD496" i="5"/>
  <c r="BE496" i="5"/>
  <c r="BE475" i="5"/>
  <c r="BD475" i="5"/>
  <c r="BD362" i="5"/>
  <c r="BE362" i="5"/>
  <c r="BE410" i="5"/>
  <c r="BD410" i="5"/>
  <c r="BE361" i="5"/>
  <c r="BD361" i="5"/>
  <c r="BE433" i="5"/>
  <c r="BD433" i="5"/>
  <c r="BD473" i="5"/>
  <c r="BE473" i="5"/>
  <c r="BD517" i="5"/>
  <c r="BE517" i="5"/>
  <c r="BD493" i="5"/>
  <c r="BE493" i="5"/>
  <c r="BD339" i="5"/>
  <c r="BE339" i="5"/>
  <c r="BD280" i="5"/>
  <c r="BE280" i="5"/>
  <c r="BD124" i="5"/>
  <c r="BE124" i="5"/>
  <c r="BE461" i="5"/>
  <c r="BD461" i="5"/>
  <c r="BE358" i="5"/>
  <c r="BD358" i="5"/>
  <c r="BD457" i="5"/>
  <c r="BE457" i="5"/>
  <c r="BD348" i="5"/>
  <c r="BE348" i="5"/>
  <c r="BD256" i="5"/>
  <c r="BE256" i="5"/>
  <c r="BE503" i="5"/>
  <c r="BD503" i="5"/>
  <c r="BE58" i="5"/>
  <c r="BD58" i="5"/>
  <c r="BD187" i="5"/>
  <c r="BE187" i="5"/>
  <c r="BD20" i="5"/>
  <c r="BE20" i="5"/>
  <c r="BD416" i="5"/>
  <c r="BE416" i="5"/>
  <c r="BD57" i="5"/>
  <c r="BE57" i="5"/>
  <c r="BD355" i="5"/>
  <c r="BE355" i="5"/>
  <c r="BE62" i="5"/>
  <c r="BD62" i="5"/>
  <c r="BD128" i="5"/>
  <c r="BE128" i="5"/>
  <c r="BE376" i="5"/>
  <c r="BD376" i="5"/>
  <c r="BD527" i="5"/>
  <c r="BE527" i="5"/>
  <c r="BD431" i="5"/>
  <c r="BE431" i="5"/>
  <c r="BD439" i="5"/>
  <c r="BE439" i="5"/>
  <c r="BE492" i="5"/>
  <c r="BD492" i="5"/>
  <c r="BE541" i="5"/>
  <c r="BD541" i="5"/>
  <c r="BD447" i="5"/>
  <c r="BE447" i="5"/>
  <c r="BE28" i="5"/>
  <c r="BD28" i="5"/>
  <c r="BE181" i="5"/>
  <c r="BD181" i="5"/>
  <c r="BD95" i="5"/>
  <c r="BE95" i="5"/>
  <c r="BD120" i="5"/>
  <c r="BE120" i="5"/>
  <c r="BE413" i="5"/>
  <c r="BD413" i="5"/>
  <c r="V13" i="5"/>
  <c r="U13" i="5"/>
  <c r="BE96" i="5"/>
  <c r="BD96" i="5"/>
  <c r="BE331" i="5"/>
  <c r="BD331" i="5"/>
  <c r="BE377" i="5"/>
  <c r="BD377" i="5"/>
  <c r="BD186" i="5"/>
  <c r="BE186" i="5"/>
  <c r="BE293" i="5"/>
  <c r="BD293" i="5"/>
  <c r="BE406" i="5"/>
  <c r="BD406" i="5"/>
  <c r="BD415" i="5"/>
  <c r="BE415" i="5"/>
  <c r="BE402" i="5"/>
  <c r="BD402" i="5"/>
  <c r="BD420" i="5"/>
  <c r="BE420" i="5"/>
  <c r="BE449" i="5"/>
  <c r="BD449" i="5"/>
  <c r="BD464" i="5"/>
  <c r="BE464" i="5"/>
  <c r="BD531" i="5"/>
  <c r="BE531" i="5"/>
  <c r="BE529" i="5"/>
  <c r="BD529" i="5"/>
  <c r="BD176" i="5"/>
  <c r="BE176" i="5"/>
  <c r="BE253" i="5"/>
  <c r="BD253" i="5"/>
  <c r="BE370" i="5"/>
  <c r="BD370" i="5"/>
  <c r="BE389" i="5"/>
  <c r="BD389" i="5"/>
  <c r="BE417" i="5"/>
  <c r="BD417" i="5"/>
  <c r="BE514" i="5"/>
  <c r="BD514" i="5"/>
  <c r="BD530" i="5"/>
  <c r="BE530" i="5"/>
  <c r="BE364" i="5"/>
  <c r="BD364" i="5"/>
  <c r="BE107" i="5"/>
  <c r="BD107" i="5"/>
  <c r="BD271" i="5"/>
  <c r="BE271" i="5"/>
  <c r="BE104" i="5"/>
  <c r="BD104" i="5"/>
  <c r="BE165" i="5"/>
  <c r="BD165" i="5"/>
  <c r="BE291" i="5"/>
  <c r="BD291" i="5"/>
  <c r="BD544" i="5"/>
  <c r="BE544" i="5"/>
  <c r="BE451" i="5"/>
  <c r="BD451" i="5"/>
  <c r="BE472" i="5"/>
  <c r="BD472" i="5"/>
  <c r="BD155" i="5"/>
  <c r="BE155" i="5"/>
  <c r="BE67" i="5"/>
  <c r="BD67" i="5"/>
  <c r="BE423" i="5"/>
  <c r="BD423" i="5"/>
  <c r="BD539" i="5"/>
  <c r="BE539" i="5"/>
  <c r="BD436" i="5"/>
  <c r="BE436" i="5"/>
  <c r="BE397" i="5"/>
  <c r="BD397" i="5"/>
  <c r="BE467" i="5"/>
  <c r="BD467" i="5"/>
  <c r="BE347" i="5"/>
  <c r="BD347" i="5"/>
  <c r="BE330" i="5"/>
  <c r="BD330" i="5"/>
  <c r="BD304" i="5"/>
  <c r="BE304" i="5"/>
  <c r="BE153" i="5"/>
  <c r="BD153" i="5"/>
  <c r="BD500" i="5"/>
  <c r="BE500" i="5"/>
  <c r="BE391" i="5"/>
  <c r="BD391" i="5"/>
  <c r="BD554" i="5"/>
  <c r="BE554" i="5"/>
  <c r="BD502" i="5"/>
  <c r="BE502" i="5"/>
  <c r="BD33" i="5"/>
  <c r="BE33" i="5"/>
  <c r="BE403" i="5"/>
  <c r="BD403" i="5"/>
  <c r="BD318" i="5"/>
  <c r="BE318" i="5"/>
  <c r="BE372" i="5"/>
  <c r="BD372" i="5"/>
  <c r="BD322" i="5"/>
  <c r="BE322" i="5"/>
  <c r="BE129" i="5"/>
  <c r="BD129" i="5"/>
  <c r="BE312" i="5"/>
  <c r="BD312" i="5"/>
  <c r="BD480" i="5"/>
  <c r="BE480" i="5"/>
  <c r="BD205" i="5"/>
  <c r="BE205" i="5"/>
  <c r="BE224" i="5"/>
  <c r="BD224" i="5"/>
  <c r="BD333" i="5"/>
  <c r="BE333" i="5"/>
  <c r="BD37" i="5"/>
  <c r="BE37" i="5"/>
  <c r="BD408" i="5"/>
  <c r="BE408" i="5"/>
  <c r="BD320" i="5"/>
  <c r="BE320" i="5"/>
  <c r="BE343" i="5"/>
  <c r="BD343" i="5"/>
  <c r="BD425" i="5"/>
  <c r="BE425" i="5"/>
  <c r="BD516" i="5"/>
  <c r="BE516" i="5"/>
  <c r="BD520" i="5"/>
  <c r="BE520" i="5"/>
  <c r="BD368" i="5"/>
  <c r="BE368" i="5"/>
  <c r="BD367" i="5"/>
  <c r="BE367" i="5"/>
  <c r="BE435" i="5"/>
  <c r="BD435" i="5"/>
  <c r="BD486" i="5"/>
  <c r="BE486" i="5"/>
  <c r="BE386" i="5"/>
  <c r="BD386" i="5"/>
  <c r="BE468" i="5"/>
  <c r="BD468" i="5"/>
  <c r="BD135" i="5"/>
  <c r="BE135" i="5"/>
  <c r="BD525" i="5"/>
  <c r="BE525" i="5"/>
  <c r="BE228" i="5"/>
  <c r="BD228" i="5"/>
  <c r="BE327" i="5"/>
  <c r="BD327" i="5"/>
  <c r="BD77" i="5"/>
  <c r="BE77" i="5"/>
  <c r="BE349" i="5"/>
  <c r="BD349" i="5"/>
  <c r="BD383" i="5"/>
  <c r="BE383" i="5"/>
  <c r="BD354" i="5"/>
  <c r="BE354" i="5"/>
  <c r="BE490" i="5"/>
  <c r="BD490" i="5"/>
  <c r="BE400" i="5"/>
  <c r="BD400" i="5"/>
  <c r="BD373" i="5"/>
  <c r="BE373" i="5"/>
  <c r="BE99" i="5"/>
  <c r="BD99" i="5"/>
  <c r="BE328" i="5"/>
  <c r="BD328" i="5"/>
  <c r="BE345" i="5"/>
  <c r="BD345" i="5"/>
  <c r="BD203" i="5"/>
  <c r="BE203" i="5"/>
  <c r="BD359" i="5"/>
  <c r="BE359" i="5"/>
  <c r="BD63" i="5"/>
  <c r="BE63" i="5"/>
  <c r="BE419" i="5"/>
  <c r="BD419" i="5"/>
  <c r="BD215" i="5"/>
  <c r="BE215" i="5"/>
  <c r="BD394" i="5"/>
  <c r="BE394" i="5"/>
  <c r="BD418" i="5"/>
  <c r="BE418" i="5"/>
  <c r="BD442" i="5"/>
  <c r="BE442" i="5"/>
  <c r="BE504" i="5"/>
  <c r="BD504" i="5"/>
  <c r="BD381" i="5"/>
  <c r="BE381" i="5"/>
  <c r="BD428" i="5"/>
  <c r="BE428" i="5"/>
  <c r="BE484" i="5"/>
  <c r="BD484" i="5"/>
  <c r="BD452" i="5"/>
  <c r="BE452" i="5"/>
  <c r="BE429" i="5"/>
  <c r="BD429" i="5"/>
  <c r="BE459" i="5"/>
  <c r="BD459" i="5"/>
  <c r="BE388" i="5"/>
  <c r="BD388" i="5"/>
  <c r="BD266" i="5"/>
  <c r="BE266" i="5"/>
  <c r="BD207" i="5"/>
  <c r="BE207" i="5"/>
  <c r="BE319" i="5"/>
  <c r="BD319" i="5"/>
  <c r="BE390" i="5"/>
  <c r="BD390" i="5"/>
  <c r="BD556" i="5"/>
  <c r="BE556" i="5"/>
  <c r="BD218" i="5"/>
  <c r="BE218" i="5"/>
  <c r="AX13" i="5"/>
  <c r="AY13" i="5"/>
  <c r="BE143" i="5"/>
  <c r="BD143" i="5"/>
  <c r="BE146" i="5"/>
  <c r="BD146" i="5"/>
  <c r="BE307" i="5"/>
  <c r="BD307" i="5"/>
  <c r="BD494" i="5"/>
  <c r="BE494" i="5"/>
  <c r="BD538" i="5"/>
  <c r="BE538" i="5"/>
  <c r="BE444" i="5"/>
  <c r="BD444" i="5"/>
  <c r="BE499" i="5"/>
  <c r="BD499" i="5"/>
  <c r="BE342" i="5"/>
  <c r="BD342" i="5"/>
  <c r="BD506" i="5"/>
  <c r="BE506" i="5"/>
  <c r="BD548" i="5"/>
  <c r="BE548" i="5"/>
  <c r="BE456" i="5"/>
  <c r="BD456" i="5"/>
  <c r="BD471" i="5"/>
  <c r="BE471" i="5"/>
  <c r="BD421" i="5"/>
  <c r="BE421" i="5"/>
  <c r="BE297" i="5"/>
  <c r="BD297" i="5"/>
  <c r="BD260" i="5"/>
  <c r="BE260" i="5"/>
  <c r="BE142" i="5"/>
  <c r="BD142" i="5"/>
  <c r="BD512" i="5"/>
  <c r="BE512" i="5"/>
  <c r="BD558" i="5"/>
  <c r="BE558" i="5"/>
  <c r="BE511" i="5"/>
  <c r="BD511" i="5"/>
  <c r="BD200" i="5"/>
  <c r="BE200" i="5"/>
  <c r="BD334" i="5"/>
  <c r="BE334" i="5"/>
  <c r="BD466" i="5"/>
  <c r="BE466" i="5"/>
  <c r="BD522" i="5"/>
  <c r="BE522" i="5"/>
  <c r="BE524" i="5"/>
  <c r="BD524" i="5"/>
  <c r="BD509" i="5"/>
  <c r="BE509" i="5"/>
  <c r="BE485" i="5"/>
  <c r="BD485" i="5"/>
  <c r="BE220" i="5"/>
  <c r="BD220" i="5"/>
  <c r="BD341" i="5"/>
  <c r="BE341" i="5"/>
  <c r="BD321" i="5"/>
  <c r="BE321" i="5"/>
  <c r="BD385" i="5"/>
  <c r="BE385" i="5"/>
  <c r="BD488" i="5"/>
  <c r="BE488" i="5"/>
  <c r="BD398" i="5"/>
  <c r="BE398" i="5"/>
  <c r="BD430" i="5"/>
  <c r="BE430" i="5"/>
  <c r="BD93" i="5"/>
  <c r="BE93" i="5"/>
  <c r="BD519" i="5"/>
  <c r="BE519" i="5"/>
  <c r="BE474" i="5"/>
  <c r="BD474" i="5"/>
  <c r="BE310" i="5"/>
  <c r="BD310" i="5"/>
  <c r="BE357" i="5"/>
  <c r="BD357" i="5"/>
  <c r="AU13" i="5"/>
  <c r="AV13" i="5"/>
  <c r="BC13" i="5"/>
  <c r="BE434" i="5"/>
  <c r="BD434" i="5"/>
  <c r="BE250" i="5"/>
  <c r="BD250" i="5"/>
  <c r="BD336" i="5"/>
  <c r="BE336" i="5"/>
  <c r="BD460" i="5"/>
  <c r="BE460" i="5"/>
  <c r="BE557" i="5"/>
  <c r="BD557" i="5"/>
  <c r="BD542" i="5"/>
  <c r="BE542" i="5"/>
  <c r="BD384" i="5"/>
  <c r="BE384" i="5"/>
  <c r="BE267" i="5"/>
  <c r="BD267" i="5"/>
  <c r="BD179" i="5"/>
  <c r="BE179" i="5"/>
  <c r="BE272" i="5"/>
  <c r="BD272" i="5"/>
  <c r="BE123" i="5"/>
  <c r="BD123" i="5"/>
  <c r="BD87" i="5"/>
  <c r="BE87" i="5"/>
  <c r="BD50" i="5"/>
  <c r="BE50" i="5"/>
  <c r="BE252" i="5"/>
  <c r="BD252" i="5"/>
  <c r="BE311" i="5"/>
  <c r="BD311" i="5"/>
  <c r="BE380" i="5"/>
  <c r="BD380" i="5"/>
  <c r="BD254" i="5"/>
  <c r="BE254" i="5"/>
  <c r="BE399" i="5"/>
  <c r="BD399" i="5"/>
  <c r="BD49" i="5"/>
  <c r="BE49" i="5"/>
  <c r="BE192" i="5"/>
  <c r="BD192" i="5"/>
  <c r="BE350" i="5"/>
  <c r="BD350" i="5"/>
  <c r="BE42" i="5"/>
  <c r="BD42" i="5"/>
  <c r="BE257" i="5"/>
  <c r="BD257" i="5"/>
  <c r="BE366" i="5"/>
  <c r="BD366" i="5"/>
  <c r="BD518" i="5"/>
  <c r="BE518" i="5"/>
  <c r="BE374" i="5"/>
  <c r="BD374" i="5"/>
  <c r="BE378" i="5"/>
  <c r="BD378" i="5"/>
  <c r="BD479" i="5"/>
  <c r="BE479" i="5"/>
  <c r="BE528" i="5"/>
  <c r="BD528" i="5"/>
  <c r="BE498" i="5"/>
  <c r="BD498" i="5"/>
  <c r="BD259" i="5"/>
  <c r="BE259" i="5"/>
  <c r="BE463" i="5"/>
  <c r="BD463" i="5"/>
  <c r="BE510" i="5"/>
  <c r="BD510" i="5"/>
  <c r="BD301" i="5"/>
  <c r="BE301" i="5"/>
  <c r="BE25" i="5"/>
  <c r="BD25" i="5"/>
  <c r="BD325" i="5"/>
  <c r="BE325" i="5"/>
  <c r="BE483" i="5"/>
  <c r="BD483" i="5"/>
  <c r="BE455" i="5"/>
  <c r="BD455" i="5"/>
  <c r="BD196" i="5"/>
  <c r="BE196" i="5"/>
  <c r="BE177" i="5"/>
  <c r="BD177" i="5"/>
  <c r="BE36" i="5"/>
  <c r="BD36" i="5"/>
  <c r="BE102" i="5"/>
  <c r="BD102" i="5"/>
  <c r="BD270" i="5"/>
  <c r="BE270" i="5"/>
  <c r="BD353" i="5"/>
  <c r="BE353" i="5"/>
  <c r="BD204" i="5"/>
  <c r="BE204" i="5"/>
  <c r="BE292" i="5"/>
  <c r="BD292" i="5"/>
  <c r="BD426" i="5"/>
  <c r="BE426" i="5"/>
  <c r="BE482" i="5"/>
  <c r="BD482" i="5"/>
  <c r="BD335" i="5"/>
  <c r="BE335" i="5"/>
  <c r="BD535" i="5"/>
  <c r="BE535" i="5"/>
  <c r="BD395" i="5"/>
  <c r="BE395" i="5"/>
  <c r="BE382" i="5"/>
  <c r="BD382" i="5"/>
  <c r="BE489" i="5"/>
  <c r="BD489" i="5"/>
  <c r="BD534" i="5"/>
  <c r="BE534" i="5"/>
  <c r="BD526" i="5"/>
  <c r="BE526" i="5"/>
  <c r="BD375" i="5"/>
  <c r="BE375" i="5"/>
  <c r="BE173" i="5"/>
  <c r="BD173" i="5"/>
  <c r="BD258" i="5"/>
  <c r="BE258" i="5"/>
  <c r="BE248" i="5"/>
  <c r="BD248" i="5"/>
  <c r="BE508" i="5"/>
  <c r="BD508" i="5"/>
  <c r="BD552" i="5"/>
  <c r="BE552" i="5"/>
  <c r="BD507" i="5"/>
  <c r="BE507" i="5"/>
  <c r="BD422" i="5"/>
  <c r="BE422" i="5"/>
  <c r="BD513" i="5"/>
  <c r="BE513" i="5"/>
  <c r="BE281" i="5"/>
  <c r="BD281" i="5"/>
  <c r="BE54" i="5"/>
  <c r="BD54" i="5"/>
  <c r="BD170" i="5"/>
  <c r="BE170" i="5"/>
  <c r="BD233" i="5"/>
  <c r="BE233" i="5"/>
  <c r="BA13" i="5"/>
  <c r="BB13" i="5"/>
  <c r="BD217" i="5"/>
  <c r="BE217" i="5"/>
  <c r="BD371" i="5"/>
  <c r="BE371" i="5"/>
  <c r="BD79" i="5"/>
  <c r="BE79" i="5"/>
  <c r="BE308" i="5"/>
  <c r="BD308" i="5"/>
  <c r="BE441" i="5"/>
  <c r="BD441" i="5"/>
  <c r="BE458" i="5"/>
  <c r="BD458" i="5"/>
  <c r="BD551" i="5"/>
  <c r="BE551" i="5"/>
  <c r="BD443" i="5"/>
  <c r="BE443" i="5"/>
  <c r="BE540" i="5"/>
  <c r="BD540" i="5"/>
  <c r="BD446" i="5"/>
  <c r="BE446" i="5"/>
  <c r="BD550" i="5"/>
  <c r="BE550" i="5"/>
  <c r="BD404" i="5"/>
  <c r="BE404" i="5"/>
  <c r="BD523" i="5"/>
  <c r="BE523" i="5"/>
  <c r="BE427" i="5"/>
  <c r="BD427" i="5"/>
  <c r="BD216" i="5"/>
  <c r="BE216" i="5"/>
  <c r="BE151" i="5"/>
  <c r="BD151" i="5"/>
  <c r="BD497" i="5"/>
  <c r="BE497" i="5"/>
  <c r="BD454" i="5"/>
  <c r="BE454" i="5"/>
  <c r="BD438" i="5"/>
  <c r="BE438" i="5"/>
  <c r="B49" i="5"/>
  <c r="B52" i="5" s="1"/>
  <c r="B35" i="5"/>
  <c r="B155" i="2"/>
  <c r="B174" i="2"/>
  <c r="B177" i="2" s="1"/>
  <c r="Z7" i="5" s="1"/>
  <c r="B71" i="5"/>
  <c r="B93" i="2"/>
  <c r="O15" i="4"/>
  <c r="B23" i="5"/>
  <c r="B154" i="2"/>
  <c r="B34" i="5"/>
  <c r="J50" i="5"/>
  <c r="B195" i="2"/>
  <c r="BD12" i="5" l="1"/>
  <c r="BD13" i="5"/>
  <c r="BE13" i="5"/>
  <c r="Z350" i="5"/>
  <c r="Z375" i="5"/>
  <c r="Z252" i="5"/>
  <c r="Z353" i="5"/>
  <c r="Z459" i="5"/>
  <c r="Z80" i="5"/>
  <c r="Z308" i="5"/>
  <c r="Z452" i="5"/>
  <c r="Z528" i="5"/>
  <c r="Z246" i="5"/>
  <c r="Z455" i="5"/>
  <c r="Z343" i="5"/>
  <c r="Z211" i="5"/>
  <c r="Z337" i="5"/>
  <c r="Z203" i="5"/>
  <c r="Z406" i="5"/>
  <c r="Z379" i="5"/>
  <c r="Z378" i="5"/>
  <c r="Z511" i="5"/>
  <c r="Z512" i="5"/>
  <c r="Z417" i="5"/>
  <c r="Z34" i="5"/>
  <c r="Z148" i="5"/>
  <c r="Z539" i="5"/>
  <c r="Z554" i="5"/>
  <c r="Z107" i="5"/>
  <c r="Z525" i="5"/>
  <c r="Z170" i="5"/>
  <c r="Z233" i="5"/>
  <c r="Z288" i="5"/>
  <c r="Z199" i="5"/>
  <c r="Z260" i="5"/>
  <c r="Z509" i="5"/>
  <c r="Z510" i="5"/>
  <c r="Z206" i="5"/>
  <c r="Z244" i="5"/>
  <c r="Z376" i="5"/>
  <c r="Z348" i="5"/>
  <c r="Z393" i="5"/>
  <c r="Z31" i="5"/>
  <c r="Z78" i="5"/>
  <c r="Z98" i="5"/>
  <c r="Z467" i="5"/>
  <c r="Z501" i="5"/>
  <c r="Z181" i="5"/>
  <c r="Z435" i="5"/>
  <c r="Z33" i="5"/>
  <c r="Z175" i="5"/>
  <c r="Z259" i="5"/>
  <c r="Z182" i="5"/>
  <c r="Z122" i="5"/>
  <c r="Z405" i="5"/>
  <c r="Z57" i="5"/>
  <c r="Z202" i="5"/>
  <c r="Z87" i="5"/>
  <c r="Z91" i="5"/>
  <c r="Z62" i="5"/>
  <c r="Z543" i="5"/>
  <c r="Z39" i="5"/>
  <c r="Z529" i="5"/>
  <c r="Z490" i="5"/>
  <c r="Z542" i="5"/>
  <c r="Z139" i="5"/>
  <c r="Z401" i="5"/>
  <c r="Z432" i="5"/>
  <c r="Z196" i="5"/>
  <c r="Z515" i="5"/>
  <c r="Z45" i="5"/>
  <c r="Z530" i="5"/>
  <c r="Z431" i="5"/>
  <c r="Z347" i="5"/>
  <c r="Z149" i="5"/>
  <c r="Z278" i="5"/>
  <c r="Z352" i="5"/>
  <c r="Z446" i="5"/>
  <c r="Z264" i="5"/>
  <c r="Z342" i="5"/>
  <c r="Z119" i="5"/>
  <c r="Z229" i="5"/>
  <c r="Z410" i="5"/>
  <c r="Z223" i="5"/>
  <c r="Z13" i="5"/>
  <c r="Z324" i="5"/>
  <c r="Z274" i="5"/>
  <c r="Z88" i="5"/>
  <c r="Z409" i="5"/>
  <c r="Z269" i="5"/>
  <c r="Z460" i="5"/>
  <c r="Z363" i="5"/>
  <c r="Z63" i="5"/>
  <c r="Z422" i="5"/>
  <c r="Z82" i="5"/>
  <c r="Z346" i="5"/>
  <c r="Z414" i="5"/>
  <c r="Z50" i="5"/>
  <c r="Z239" i="5"/>
  <c r="Z486" i="5"/>
  <c r="Z449" i="5"/>
  <c r="Z141" i="5"/>
  <c r="Z257" i="5"/>
  <c r="Z192" i="5"/>
  <c r="Z65" i="5"/>
  <c r="Z332" i="5"/>
  <c r="Z20" i="5"/>
  <c r="Z447" i="5"/>
  <c r="Z222" i="5"/>
  <c r="Z368" i="5"/>
  <c r="Z71" i="5"/>
  <c r="Z549" i="5"/>
  <c r="Z450" i="5"/>
  <c r="Z262" i="5"/>
  <c r="Z232" i="5"/>
  <c r="Z335" i="5"/>
  <c r="Z408" i="5"/>
  <c r="Z152" i="5"/>
  <c r="Z197" i="5"/>
  <c r="Z402" i="5"/>
  <c r="Z169" i="5"/>
  <c r="Z412" i="5"/>
  <c r="Z492" i="5"/>
  <c r="Z299" i="5"/>
  <c r="Z84" i="5"/>
  <c r="Z306" i="5"/>
  <c r="Z331" i="5"/>
  <c r="Z205" i="5"/>
  <c r="Z320" i="5"/>
  <c r="Z275" i="5"/>
  <c r="Z51" i="5"/>
  <c r="Z488" i="5"/>
  <c r="Z317" i="5"/>
  <c r="Z399" i="5"/>
  <c r="Z377" i="5"/>
  <c r="Z241" i="5"/>
  <c r="Z483" i="5"/>
  <c r="Z482" i="5"/>
  <c r="Z436" i="5"/>
  <c r="Z100" i="5"/>
  <c r="Z159" i="5"/>
  <c r="Z386" i="5"/>
  <c r="Z191" i="5"/>
  <c r="Z81" i="5"/>
  <c r="Z8" i="5"/>
  <c r="Z313" i="5"/>
  <c r="Z500" i="5"/>
  <c r="Z312" i="5"/>
  <c r="Z106" i="5"/>
  <c r="Z533" i="5"/>
  <c r="Z68" i="5"/>
  <c r="Z361" i="5"/>
  <c r="Z234" i="5"/>
  <c r="Z296" i="5"/>
  <c r="Z461" i="5"/>
  <c r="Z129" i="5"/>
  <c r="Z24" i="5"/>
  <c r="Z198" i="5"/>
  <c r="Z514" i="5"/>
  <c r="Z218" i="5"/>
  <c r="Z137" i="5"/>
  <c r="Z493" i="5"/>
  <c r="Z283" i="5"/>
  <c r="Z138" i="5"/>
  <c r="Z190" i="5"/>
  <c r="Z280" i="5"/>
  <c r="Z135" i="5"/>
  <c r="Z327" i="5"/>
  <c r="Z184" i="5"/>
  <c r="Z85" i="5"/>
  <c r="Z44" i="5"/>
  <c r="Z322" i="5"/>
  <c r="Z503" i="5"/>
  <c r="Z349" i="5"/>
  <c r="Z89" i="5"/>
  <c r="Z439" i="5"/>
  <c r="Z165" i="5"/>
  <c r="Z64" i="5"/>
  <c r="Z76" i="5"/>
  <c r="Z131" i="5"/>
  <c r="Z522" i="5"/>
  <c r="Z498" i="5"/>
  <c r="Z245" i="5"/>
  <c r="Z163" i="5"/>
  <c r="Z124" i="5"/>
  <c r="Z110" i="5"/>
  <c r="Z95" i="5"/>
  <c r="Z356" i="5"/>
  <c r="Z516" i="5"/>
  <c r="Z25" i="5"/>
  <c r="Z183" i="5"/>
  <c r="Z43" i="5"/>
  <c r="Z161" i="5"/>
  <c r="Z171" i="5"/>
  <c r="Z430" i="5"/>
  <c r="Z484" i="5"/>
  <c r="Z146" i="5"/>
  <c r="Z59" i="5"/>
  <c r="Z237" i="5"/>
  <c r="Z433" i="5"/>
  <c r="Z26" i="5"/>
  <c r="Z415" i="5"/>
  <c r="Z319" i="5"/>
  <c r="Z200" i="5"/>
  <c r="Z336" i="5"/>
  <c r="Z265" i="5"/>
  <c r="Z96" i="5"/>
  <c r="Z365" i="5"/>
  <c r="Z507" i="5"/>
  <c r="Z407" i="5"/>
  <c r="Z448" i="5"/>
  <c r="Z429" i="5"/>
  <c r="Z116" i="5"/>
  <c r="Z315" i="5"/>
  <c r="Z546" i="5"/>
  <c r="Z362" i="5"/>
  <c r="Z187" i="5"/>
  <c r="Z143" i="5"/>
  <c r="Z555" i="5"/>
  <c r="Z473" i="5"/>
  <c r="Z242" i="5"/>
  <c r="Z55" i="5"/>
  <c r="Z35" i="5"/>
  <c r="Z354" i="5"/>
  <c r="Z230" i="5"/>
  <c r="Z506" i="5"/>
  <c r="Z72" i="5"/>
  <c r="Z177" i="5"/>
  <c r="Z77" i="5"/>
  <c r="Z236" i="5"/>
  <c r="Z69" i="5"/>
  <c r="Z487" i="5"/>
  <c r="Z207" i="5"/>
  <c r="Z38" i="5"/>
  <c r="Z193" i="5"/>
  <c r="Z300" i="5"/>
  <c r="Z465" i="5"/>
  <c r="Z445" i="5"/>
  <c r="Z338" i="5"/>
  <c r="Z134" i="5"/>
  <c r="Z395" i="5"/>
  <c r="Z311" i="5"/>
  <c r="Z240" i="5"/>
  <c r="Z537" i="5"/>
  <c r="Z302" i="5"/>
  <c r="Z180" i="5"/>
  <c r="Z79" i="5"/>
  <c r="Z367" i="5"/>
  <c r="Z208" i="5"/>
  <c r="Z373" i="5"/>
  <c r="Z66" i="5"/>
  <c r="Z112" i="5"/>
  <c r="Z22" i="5"/>
  <c r="Z513" i="5"/>
  <c r="Z144" i="5"/>
  <c r="Z505" i="5"/>
  <c r="Z442" i="5"/>
  <c r="Z387" i="5"/>
  <c r="Z470" i="5"/>
  <c r="Z456" i="5"/>
  <c r="Z279" i="5"/>
  <c r="Z351" i="5"/>
  <c r="Z221" i="5"/>
  <c r="Z285" i="5"/>
  <c r="Z127" i="5"/>
  <c r="Z428" i="5"/>
  <c r="Z19" i="5"/>
  <c r="Z215" i="5"/>
  <c r="Z400" i="5"/>
  <c r="Z270" i="5"/>
  <c r="Z518" i="5"/>
  <c r="Z114" i="5"/>
  <c r="Z28" i="5"/>
  <c r="Z287" i="5"/>
  <c r="Z426" i="5"/>
  <c r="Z47" i="5"/>
  <c r="Z325" i="5"/>
  <c r="Z195" i="5"/>
  <c r="Z440" i="5"/>
  <c r="Z130" i="5"/>
  <c r="Z256" i="5"/>
  <c r="Z266" i="5"/>
  <c r="Z204" i="5"/>
  <c r="Z90" i="5"/>
  <c r="Z310" i="5"/>
  <c r="Z118" i="5"/>
  <c r="Z475" i="5"/>
  <c r="Z552" i="5"/>
  <c r="Z380" i="5"/>
  <c r="Z272" i="5"/>
  <c r="Z27" i="5"/>
  <c r="Z186" i="5"/>
  <c r="Z46" i="5"/>
  <c r="Z61" i="5"/>
  <c r="Z471" i="5"/>
  <c r="Z115" i="5"/>
  <c r="Z75" i="5"/>
  <c r="Z369" i="5"/>
  <c r="Z464" i="5"/>
  <c r="Z499" i="5"/>
  <c r="Z247" i="5"/>
  <c r="Z103" i="5"/>
  <c r="Z494" i="5"/>
  <c r="Z23" i="5"/>
  <c r="Z254" i="5"/>
  <c r="Z126" i="5"/>
  <c r="Z480" i="5"/>
  <c r="Z527" i="5"/>
  <c r="Z458" i="5"/>
  <c r="Z168" i="5"/>
  <c r="Z166" i="5"/>
  <c r="Z502" i="5"/>
  <c r="Z521" i="5"/>
  <c r="Z421" i="5"/>
  <c r="Z282" i="5"/>
  <c r="Z496" i="5"/>
  <c r="Z30" i="5"/>
  <c r="Z251" i="5"/>
  <c r="Z179" i="5"/>
  <c r="Z12" i="5"/>
  <c r="Z228" i="5"/>
  <c r="Z290" i="5"/>
  <c r="Z318" i="5"/>
  <c r="Z485" i="5"/>
  <c r="Z476" i="5"/>
  <c r="Z147" i="5"/>
  <c r="Z226" i="5"/>
  <c r="Z142" i="5"/>
  <c r="Z474" i="5"/>
  <c r="Z37" i="5"/>
  <c r="Z457" i="5"/>
  <c r="Z216" i="5"/>
  <c r="Z212" i="5"/>
  <c r="Z227" i="5"/>
  <c r="Z276" i="5"/>
  <c r="Z273" i="5"/>
  <c r="Z321" i="5"/>
  <c r="Z123" i="5"/>
  <c r="Z330" i="5"/>
  <c r="Z172" i="5"/>
  <c r="Z156" i="5"/>
  <c r="Z391" i="5"/>
  <c r="Z94" i="5"/>
  <c r="Z366" i="5"/>
  <c r="Z36" i="5"/>
  <c r="Z292" i="5"/>
  <c r="Z263" i="5"/>
  <c r="Z418" i="5"/>
  <c r="Z547" i="5"/>
  <c r="Z189" i="5"/>
  <c r="Z178" i="5"/>
  <c r="Z536" i="5"/>
  <c r="Z48" i="5"/>
  <c r="Z472" i="5"/>
  <c r="Z504" i="5"/>
  <c r="Z128" i="5"/>
  <c r="Z534" i="5"/>
  <c r="Z86" i="5"/>
  <c r="Z524" i="5"/>
  <c r="Z411" i="5"/>
  <c r="Z413" i="5"/>
  <c r="Z56" i="5"/>
  <c r="Z443" i="5"/>
  <c r="Z531" i="5"/>
  <c r="Z301" i="5"/>
  <c r="Z155" i="5"/>
  <c r="Z104" i="5"/>
  <c r="Z145" i="5"/>
  <c r="Z466" i="5"/>
  <c r="Z167" i="5"/>
  <c r="Z481" i="5"/>
  <c r="Z194" i="5"/>
  <c r="Z517" i="5"/>
  <c r="Z550" i="5"/>
  <c r="Z120" i="5"/>
  <c r="Z111" i="5"/>
  <c r="Z508" i="5"/>
  <c r="Z478" i="5"/>
  <c r="Z303" i="5"/>
  <c r="Z495" i="5"/>
  <c r="Z258" i="5"/>
  <c r="Z437" i="5"/>
  <c r="Z355" i="5"/>
  <c r="Z54" i="5"/>
  <c r="Z339" i="5"/>
  <c r="Z220" i="5"/>
  <c r="Z372" i="5"/>
  <c r="Z390" i="5"/>
  <c r="Z73" i="5"/>
  <c r="Z519" i="5"/>
  <c r="Z374" i="5"/>
  <c r="Z389" i="5"/>
  <c r="Z213" i="5"/>
  <c r="Z117" i="5"/>
  <c r="Z497" i="5"/>
  <c r="Z469" i="5"/>
  <c r="Z326" i="5"/>
  <c r="Z340" i="5"/>
  <c r="Z314" i="5"/>
  <c r="Z333" i="5"/>
  <c r="Z140" i="5"/>
  <c r="Z160" i="5"/>
  <c r="Z97" i="5"/>
  <c r="Z462" i="5"/>
  <c r="Z214" i="5"/>
  <c r="Z551" i="5"/>
  <c r="Z558" i="5"/>
  <c r="Z60" i="5"/>
  <c r="Z523" i="5"/>
  <c r="Z489" i="5"/>
  <c r="Z305" i="5"/>
  <c r="Z491" i="5"/>
  <c r="Z384" i="5"/>
  <c r="Z250" i="5"/>
  <c r="Z291" i="5"/>
  <c r="Z416" i="5"/>
  <c r="Z231" i="5"/>
  <c r="Z158" i="5"/>
  <c r="Z559" i="5"/>
  <c r="Z271" i="5"/>
  <c r="Z370" i="5"/>
  <c r="Z392" i="5"/>
  <c r="Z209" i="5"/>
  <c r="Z438" i="5"/>
  <c r="Z74" i="5"/>
  <c r="Z286" i="5"/>
  <c r="Z267" i="5"/>
  <c r="Z382" i="5"/>
  <c r="Z298" i="5"/>
  <c r="Z268" i="5"/>
  <c r="Z133" i="5"/>
  <c r="Z255" i="5"/>
  <c r="Z540" i="5"/>
  <c r="Z42" i="5"/>
  <c r="Z544" i="5"/>
  <c r="Z92" i="5"/>
  <c r="Z538" i="5"/>
  <c r="Z284" i="5"/>
  <c r="Z553" i="5"/>
  <c r="Z297" i="5"/>
  <c r="Z381" i="5"/>
  <c r="Z70" i="5"/>
  <c r="Z217" i="5"/>
  <c r="Z403" i="5"/>
  <c r="Z328" i="5"/>
  <c r="Z294" i="5"/>
  <c r="Z309" i="5"/>
  <c r="Z53" i="5"/>
  <c r="Z235" i="5"/>
  <c r="Z423" i="5"/>
  <c r="Z125" i="5"/>
  <c r="Z93" i="5"/>
  <c r="Z261" i="5"/>
  <c r="Z541" i="5"/>
  <c r="Z40" i="5"/>
  <c r="Z434" i="5"/>
  <c r="Z151" i="5"/>
  <c r="Z396" i="5"/>
  <c r="Z238" i="5"/>
  <c r="Z424" i="5"/>
  <c r="Z477" i="5"/>
  <c r="Z32" i="5"/>
  <c r="Z548" i="5"/>
  <c r="Z52" i="5"/>
  <c r="Z83" i="5"/>
  <c r="Z113" i="5"/>
  <c r="Z468" i="5"/>
  <c r="Z535" i="5"/>
  <c r="Z295" i="5"/>
  <c r="Z307" i="5"/>
  <c r="Z121" i="5"/>
  <c r="Z526" i="5"/>
  <c r="Z532" i="5"/>
  <c r="Z108" i="5"/>
  <c r="Z316" i="5"/>
  <c r="Z277" i="5"/>
  <c r="Z29" i="5"/>
  <c r="Z173" i="5"/>
  <c r="Z364" i="5"/>
  <c r="Z334" i="5"/>
  <c r="Z58" i="5"/>
  <c r="Z176" i="5"/>
  <c r="Z358" i="5"/>
  <c r="Z359" i="5"/>
  <c r="Z360" i="5"/>
  <c r="Z394" i="5"/>
  <c r="Z109" i="5"/>
  <c r="Z132" i="5"/>
  <c r="Z174" i="5"/>
  <c r="Z224" i="5"/>
  <c r="Z463" i="5"/>
  <c r="Z154" i="5"/>
  <c r="Z545" i="5"/>
  <c r="Z479" i="5"/>
  <c r="Z397" i="5"/>
  <c r="Z404" i="5"/>
  <c r="Z425" i="5"/>
  <c r="Z153" i="5"/>
  <c r="Z560" i="5"/>
  <c r="Z329" i="5"/>
  <c r="Z105" i="5"/>
  <c r="Z383" i="5"/>
  <c r="Z253" i="5"/>
  <c r="Z21" i="5"/>
  <c r="Z398" i="5"/>
  <c r="Z201" i="5"/>
  <c r="Z102" i="5"/>
  <c r="Z427" i="5"/>
  <c r="Z185" i="5"/>
  <c r="Z49" i="5"/>
  <c r="Z188" i="5"/>
  <c r="Z341" i="5"/>
  <c r="Z293" i="5"/>
  <c r="Z210" i="5"/>
  <c r="Z225" i="5"/>
  <c r="Z219" i="5"/>
  <c r="Z101" i="5"/>
  <c r="Z157" i="5"/>
  <c r="Z289" i="5"/>
  <c r="Z249" i="5"/>
  <c r="Z150" i="5"/>
  <c r="Z136" i="5"/>
  <c r="Z557" i="5"/>
  <c r="Z419" i="5"/>
  <c r="Z164" i="5"/>
  <c r="Z99" i="5"/>
  <c r="Z162" i="5"/>
  <c r="Z453" i="5"/>
  <c r="Z371" i="5"/>
  <c r="Z323" i="5"/>
  <c r="Z520" i="5"/>
  <c r="Z248" i="5"/>
  <c r="Z344" i="5"/>
  <c r="Z385" i="5"/>
  <c r="Z345" i="5"/>
  <c r="Z281" i="5"/>
  <c r="Z67" i="5"/>
  <c r="Z444" i="5"/>
  <c r="Z388" i="5"/>
  <c r="Z454" i="5"/>
  <c r="Z441" i="5"/>
  <c r="Z451" i="5"/>
  <c r="Z420" i="5"/>
  <c r="Z304" i="5"/>
  <c r="Z556" i="5"/>
  <c r="Z243" i="5"/>
  <c r="Z41" i="5"/>
  <c r="Z357" i="5"/>
  <c r="AB7" i="5"/>
  <c r="AA7" i="5"/>
  <c r="AB357" i="5" l="1"/>
  <c r="AA357" i="5"/>
  <c r="AA304" i="5"/>
  <c r="AB304" i="5"/>
  <c r="AB454" i="5"/>
  <c r="AA454" i="5"/>
  <c r="AA281" i="5"/>
  <c r="AB281" i="5"/>
  <c r="AB248" i="5"/>
  <c r="AA248" i="5"/>
  <c r="AB453" i="5"/>
  <c r="AA453" i="5"/>
  <c r="AB419" i="5"/>
  <c r="AA419" i="5"/>
  <c r="AB249" i="5"/>
  <c r="AA249" i="5"/>
  <c r="AB219" i="5"/>
  <c r="AA219" i="5"/>
  <c r="AB341" i="5"/>
  <c r="AA341" i="5"/>
  <c r="AB427" i="5"/>
  <c r="AA427" i="5"/>
  <c r="AA21" i="5"/>
  <c r="AB21" i="5"/>
  <c r="AA329" i="5"/>
  <c r="AB329" i="5"/>
  <c r="AB404" i="5"/>
  <c r="AA404" i="5"/>
  <c r="AB154" i="5"/>
  <c r="AA154" i="5"/>
  <c r="AB132" i="5"/>
  <c r="AA132" i="5"/>
  <c r="AB359" i="5"/>
  <c r="AA359" i="5"/>
  <c r="AB334" i="5"/>
  <c r="AA334" i="5"/>
  <c r="AA277" i="5"/>
  <c r="AB277" i="5"/>
  <c r="AA526" i="5"/>
  <c r="AB526" i="5"/>
  <c r="AB535" i="5"/>
  <c r="AA535" i="5"/>
  <c r="AB52" i="5"/>
  <c r="AA52" i="5"/>
  <c r="AB424" i="5"/>
  <c r="AA424" i="5"/>
  <c r="AA434" i="5"/>
  <c r="AB434" i="5"/>
  <c r="AB93" i="5"/>
  <c r="AA93" i="5"/>
  <c r="AB53" i="5"/>
  <c r="AA53" i="5"/>
  <c r="AA403" i="5"/>
  <c r="AB403" i="5"/>
  <c r="AA297" i="5"/>
  <c r="AB297" i="5"/>
  <c r="AA92" i="5"/>
  <c r="AB92" i="5"/>
  <c r="AA255" i="5"/>
  <c r="AB255" i="5"/>
  <c r="AA382" i="5"/>
  <c r="AB382" i="5"/>
  <c r="AA438" i="5"/>
  <c r="AB438" i="5"/>
  <c r="AA271" i="5"/>
  <c r="AB271" i="5"/>
  <c r="AA416" i="5"/>
  <c r="AB416" i="5"/>
  <c r="AA491" i="5"/>
  <c r="AB491" i="5"/>
  <c r="AB60" i="5"/>
  <c r="AA60" i="5"/>
  <c r="AA462" i="5"/>
  <c r="AB462" i="5"/>
  <c r="AA333" i="5"/>
  <c r="AB333" i="5"/>
  <c r="AB469" i="5"/>
  <c r="AA469" i="5"/>
  <c r="AA389" i="5"/>
  <c r="AB389" i="5"/>
  <c r="AA390" i="5"/>
  <c r="AB390" i="5"/>
  <c r="AA54" i="5"/>
  <c r="AB54" i="5"/>
  <c r="AA495" i="5"/>
  <c r="AB495" i="5"/>
  <c r="AB111" i="5"/>
  <c r="AA111" i="5"/>
  <c r="AB194" i="5"/>
  <c r="AA194" i="5"/>
  <c r="AB145" i="5"/>
  <c r="AA145" i="5"/>
  <c r="AA531" i="5"/>
  <c r="AB531" i="5"/>
  <c r="AA411" i="5"/>
  <c r="AB411" i="5"/>
  <c r="AB128" i="5"/>
  <c r="AA128" i="5"/>
  <c r="AB536" i="5"/>
  <c r="AA536" i="5"/>
  <c r="AB418" i="5"/>
  <c r="AA418" i="5"/>
  <c r="AB366" i="5"/>
  <c r="AA366" i="5"/>
  <c r="AA172" i="5"/>
  <c r="AB172" i="5"/>
  <c r="AA273" i="5"/>
  <c r="AB273" i="5"/>
  <c r="AA216" i="5"/>
  <c r="AB216" i="5"/>
  <c r="AB142" i="5"/>
  <c r="AA142" i="5"/>
  <c r="AA485" i="5"/>
  <c r="AB485" i="5"/>
  <c r="AB12" i="5"/>
  <c r="AA12" i="5"/>
  <c r="AB496" i="5"/>
  <c r="AA496" i="5"/>
  <c r="AA502" i="5"/>
  <c r="AB502" i="5"/>
  <c r="AA527" i="5"/>
  <c r="AB527" i="5"/>
  <c r="AA23" i="5"/>
  <c r="AB23" i="5"/>
  <c r="AB499" i="5"/>
  <c r="AA499" i="5"/>
  <c r="AA115" i="5"/>
  <c r="AB115" i="5"/>
  <c r="AA186" i="5"/>
  <c r="AB186" i="5"/>
  <c r="AB552" i="5"/>
  <c r="AA552" i="5"/>
  <c r="AA90" i="5"/>
  <c r="AB90" i="5"/>
  <c r="AB130" i="5"/>
  <c r="AA130" i="5"/>
  <c r="AA47" i="5"/>
  <c r="AB47" i="5"/>
  <c r="AA114" i="5"/>
  <c r="AB114" i="5"/>
  <c r="AA215" i="5"/>
  <c r="AB215" i="5"/>
  <c r="AA285" i="5"/>
  <c r="AB285" i="5"/>
  <c r="AA456" i="5"/>
  <c r="AB456" i="5"/>
  <c r="AA505" i="5"/>
  <c r="AB505" i="5"/>
  <c r="AB112" i="5"/>
  <c r="AA112" i="5"/>
  <c r="AB367" i="5"/>
  <c r="AA367" i="5"/>
  <c r="AA537" i="5"/>
  <c r="AB537" i="5"/>
  <c r="AA134" i="5"/>
  <c r="AB134" i="5"/>
  <c r="AB300" i="5"/>
  <c r="AA300" i="5"/>
  <c r="AB487" i="5"/>
  <c r="AA487" i="5"/>
  <c r="AB77" i="5"/>
  <c r="AA77" i="5"/>
  <c r="AA230" i="5"/>
  <c r="AB230" i="5"/>
  <c r="AB242" i="5"/>
  <c r="AA242" i="5"/>
  <c r="AA187" i="5"/>
  <c r="AB187" i="5"/>
  <c r="AA116" i="5"/>
  <c r="AB116" i="5"/>
  <c r="AA507" i="5"/>
  <c r="AB507" i="5"/>
  <c r="AB336" i="5"/>
  <c r="AA336" i="5"/>
  <c r="AA26" i="5"/>
  <c r="AB26" i="5"/>
  <c r="AA146" i="5"/>
  <c r="AB146" i="5"/>
  <c r="AB161" i="5"/>
  <c r="AA161" i="5"/>
  <c r="AA516" i="5"/>
  <c r="AB516" i="5"/>
  <c r="AA124" i="5"/>
  <c r="AB124" i="5"/>
  <c r="AA522" i="5"/>
  <c r="AB522" i="5"/>
  <c r="AB165" i="5"/>
  <c r="AA165" i="5"/>
  <c r="AB503" i="5"/>
  <c r="AA503" i="5"/>
  <c r="AA184" i="5"/>
  <c r="AB184" i="5"/>
  <c r="AB190" i="5"/>
  <c r="AA190" i="5"/>
  <c r="AA137" i="5"/>
  <c r="AB137" i="5"/>
  <c r="AA24" i="5"/>
  <c r="AB24" i="5"/>
  <c r="AB234" i="5"/>
  <c r="AA234" i="5"/>
  <c r="AA106" i="5"/>
  <c r="AB106" i="5"/>
  <c r="AB8" i="5"/>
  <c r="AA8" i="5"/>
  <c r="AB159" i="5"/>
  <c r="AA159" i="5"/>
  <c r="AB483" i="5"/>
  <c r="AA483" i="5"/>
  <c r="AA317" i="5"/>
  <c r="AB317" i="5"/>
  <c r="AB320" i="5"/>
  <c r="AA320" i="5"/>
  <c r="AB84" i="5"/>
  <c r="AA84" i="5"/>
  <c r="AA169" i="5"/>
  <c r="AB169" i="5"/>
  <c r="AA408" i="5"/>
  <c r="AB408" i="5"/>
  <c r="AA450" i="5"/>
  <c r="AB450" i="5"/>
  <c r="AA222" i="5"/>
  <c r="AB222" i="5"/>
  <c r="AB65" i="5"/>
  <c r="AA65" i="5"/>
  <c r="AA449" i="5"/>
  <c r="AB449" i="5"/>
  <c r="AA414" i="5"/>
  <c r="AB414" i="5"/>
  <c r="AB63" i="5"/>
  <c r="AA63" i="5"/>
  <c r="AB409" i="5"/>
  <c r="AA409" i="5"/>
  <c r="AA13" i="5"/>
  <c r="AB13" i="5"/>
  <c r="AA119" i="5"/>
  <c r="AB119" i="5"/>
  <c r="AB352" i="5"/>
  <c r="AA352" i="5"/>
  <c r="AA431" i="5"/>
  <c r="AB431" i="5"/>
  <c r="AB196" i="5"/>
  <c r="AA196" i="5"/>
  <c r="AB542" i="5"/>
  <c r="AA542" i="5"/>
  <c r="AB543" i="5"/>
  <c r="AA543" i="5"/>
  <c r="AA202" i="5"/>
  <c r="AB202" i="5"/>
  <c r="AB182" i="5"/>
  <c r="AA182" i="5"/>
  <c r="AA435" i="5"/>
  <c r="AB435" i="5"/>
  <c r="AA98" i="5"/>
  <c r="AB98" i="5"/>
  <c r="AB348" i="5"/>
  <c r="AA348" i="5"/>
  <c r="AB510" i="5"/>
  <c r="AA510" i="5"/>
  <c r="AA288" i="5"/>
  <c r="AB288" i="5"/>
  <c r="AB107" i="5"/>
  <c r="AA107" i="5"/>
  <c r="AA34" i="5"/>
  <c r="AB34" i="5"/>
  <c r="AA378" i="5"/>
  <c r="AB378" i="5"/>
  <c r="AA337" i="5"/>
  <c r="AB337" i="5"/>
  <c r="AA246" i="5"/>
  <c r="AB246" i="5"/>
  <c r="AA80" i="5"/>
  <c r="AB80" i="5"/>
  <c r="AB375" i="5"/>
  <c r="AA375" i="5"/>
  <c r="AA41" i="5"/>
  <c r="AB41" i="5"/>
  <c r="AB420" i="5"/>
  <c r="AA420" i="5"/>
  <c r="AB388" i="5"/>
  <c r="AA388" i="5"/>
  <c r="AB345" i="5"/>
  <c r="AA345" i="5"/>
  <c r="AA520" i="5"/>
  <c r="AB520" i="5"/>
  <c r="AA162" i="5"/>
  <c r="AB162" i="5"/>
  <c r="AA557" i="5"/>
  <c r="AB557" i="5"/>
  <c r="AB289" i="5"/>
  <c r="AA289" i="5"/>
  <c r="AB225" i="5"/>
  <c r="AA225" i="5"/>
  <c r="AB188" i="5"/>
  <c r="AA188" i="5"/>
  <c r="AA102" i="5"/>
  <c r="AB102" i="5"/>
  <c r="AB253" i="5"/>
  <c r="AA253" i="5"/>
  <c r="AB560" i="5"/>
  <c r="AA560" i="5"/>
  <c r="AA397" i="5"/>
  <c r="AB397" i="5"/>
  <c r="AB463" i="5"/>
  <c r="AA463" i="5"/>
  <c r="AB109" i="5"/>
  <c r="AA109" i="5"/>
  <c r="AB358" i="5"/>
  <c r="AA358" i="5"/>
  <c r="AA364" i="5"/>
  <c r="AB364" i="5"/>
  <c r="AA316" i="5"/>
  <c r="AB316" i="5"/>
  <c r="AA121" i="5"/>
  <c r="AB121" i="5"/>
  <c r="AA468" i="5"/>
  <c r="AB468" i="5"/>
  <c r="AB548" i="5"/>
  <c r="AA548" i="5"/>
  <c r="AB238" i="5"/>
  <c r="AA238" i="5"/>
  <c r="AB40" i="5"/>
  <c r="AA40" i="5"/>
  <c r="AA125" i="5"/>
  <c r="AB125" i="5"/>
  <c r="AB309" i="5"/>
  <c r="AA309" i="5"/>
  <c r="AB217" i="5"/>
  <c r="AA217" i="5"/>
  <c r="AA553" i="5"/>
  <c r="AB553" i="5"/>
  <c r="AB544" i="5"/>
  <c r="AA544" i="5"/>
  <c r="AA133" i="5"/>
  <c r="AB133" i="5"/>
  <c r="AA267" i="5"/>
  <c r="AB267" i="5"/>
  <c r="AB209" i="5"/>
  <c r="AA209" i="5"/>
  <c r="AA559" i="5"/>
  <c r="AB559" i="5"/>
  <c r="AB291" i="5"/>
  <c r="AA291" i="5"/>
  <c r="AA305" i="5"/>
  <c r="AB305" i="5"/>
  <c r="AB558" i="5"/>
  <c r="AA558" i="5"/>
  <c r="AB97" i="5"/>
  <c r="AA97" i="5"/>
  <c r="AA314" i="5"/>
  <c r="AB314" i="5"/>
  <c r="AB497" i="5"/>
  <c r="AA497" i="5"/>
  <c r="AB374" i="5"/>
  <c r="AA374" i="5"/>
  <c r="AB372" i="5"/>
  <c r="AA372" i="5"/>
  <c r="AA355" i="5"/>
  <c r="AB355" i="5"/>
  <c r="AB303" i="5"/>
  <c r="AA303" i="5"/>
  <c r="AA120" i="5"/>
  <c r="AB120" i="5"/>
  <c r="AB481" i="5"/>
  <c r="AA481" i="5"/>
  <c r="AA104" i="5"/>
  <c r="AB104" i="5"/>
  <c r="AB443" i="5"/>
  <c r="AA443" i="5"/>
  <c r="AA524" i="5"/>
  <c r="AB524" i="5"/>
  <c r="AB504" i="5"/>
  <c r="AA504" i="5"/>
  <c r="AA178" i="5"/>
  <c r="AB178" i="5"/>
  <c r="AB263" i="5"/>
  <c r="AA263" i="5"/>
  <c r="AA94" i="5"/>
  <c r="AB94" i="5"/>
  <c r="AA330" i="5"/>
  <c r="AB330" i="5"/>
  <c r="AB276" i="5"/>
  <c r="AA276" i="5"/>
  <c r="AB457" i="5"/>
  <c r="AA457" i="5"/>
  <c r="AB226" i="5"/>
  <c r="AA226" i="5"/>
  <c r="AA318" i="5"/>
  <c r="AB318" i="5"/>
  <c r="AB179" i="5"/>
  <c r="AA179" i="5"/>
  <c r="AA282" i="5"/>
  <c r="AB282" i="5"/>
  <c r="AB166" i="5"/>
  <c r="AA166" i="5"/>
  <c r="AA480" i="5"/>
  <c r="AB480" i="5"/>
  <c r="AB494" i="5"/>
  <c r="AA494" i="5"/>
  <c r="AA464" i="5"/>
  <c r="AB464" i="5"/>
  <c r="AA471" i="5"/>
  <c r="AB471" i="5"/>
  <c r="AA27" i="5"/>
  <c r="AB27" i="5"/>
  <c r="AB475" i="5"/>
  <c r="AA475" i="5"/>
  <c r="AB204" i="5"/>
  <c r="AA204" i="5"/>
  <c r="AA440" i="5"/>
  <c r="AB440" i="5"/>
  <c r="AB426" i="5"/>
  <c r="AA426" i="5"/>
  <c r="AA518" i="5"/>
  <c r="AB518" i="5"/>
  <c r="AA19" i="5"/>
  <c r="AB19" i="5"/>
  <c r="AB221" i="5"/>
  <c r="AA221" i="5"/>
  <c r="AA470" i="5"/>
  <c r="AB470" i="5"/>
  <c r="AA144" i="5"/>
  <c r="AB144" i="5"/>
  <c r="AA66" i="5"/>
  <c r="AB66" i="5"/>
  <c r="AA79" i="5"/>
  <c r="AB79" i="5"/>
  <c r="AB240" i="5"/>
  <c r="AA240" i="5"/>
  <c r="AB338" i="5"/>
  <c r="AA338" i="5"/>
  <c r="AB193" i="5"/>
  <c r="AA193" i="5"/>
  <c r="AA177" i="5"/>
  <c r="AB177" i="5"/>
  <c r="AA354" i="5"/>
  <c r="AB354" i="5"/>
  <c r="AB473" i="5"/>
  <c r="AA473" i="5"/>
  <c r="AB362" i="5"/>
  <c r="AA362" i="5"/>
  <c r="AA429" i="5"/>
  <c r="AB429" i="5"/>
  <c r="AB365" i="5"/>
  <c r="AA365" i="5"/>
  <c r="AB200" i="5"/>
  <c r="AA200" i="5"/>
  <c r="AB433" i="5"/>
  <c r="AA433" i="5"/>
  <c r="AB484" i="5"/>
  <c r="AA484" i="5"/>
  <c r="AB43" i="5"/>
  <c r="AA43" i="5"/>
  <c r="AA356" i="5"/>
  <c r="AB356" i="5"/>
  <c r="AA163" i="5"/>
  <c r="AB163" i="5"/>
  <c r="AA131" i="5"/>
  <c r="AB131" i="5"/>
  <c r="AA439" i="5"/>
  <c r="AB439" i="5"/>
  <c r="AA322" i="5"/>
  <c r="AB322" i="5"/>
  <c r="AA327" i="5"/>
  <c r="AB327" i="5"/>
  <c r="AA138" i="5"/>
  <c r="AB138" i="5"/>
  <c r="AB218" i="5"/>
  <c r="AA218" i="5"/>
  <c r="AB129" i="5"/>
  <c r="AA129" i="5"/>
  <c r="AA361" i="5"/>
  <c r="AB361" i="5"/>
  <c r="AA312" i="5"/>
  <c r="AB312" i="5"/>
  <c r="AA81" i="5"/>
  <c r="AB81" i="5"/>
  <c r="AA100" i="5"/>
  <c r="AB100" i="5"/>
  <c r="AA241" i="5"/>
  <c r="AB241" i="5"/>
  <c r="AB488" i="5"/>
  <c r="AA488" i="5"/>
  <c r="AB205" i="5"/>
  <c r="AA205" i="5"/>
  <c r="AB299" i="5"/>
  <c r="AA299" i="5"/>
  <c r="AB402" i="5"/>
  <c r="AA402" i="5"/>
  <c r="AA335" i="5"/>
  <c r="AB335" i="5"/>
  <c r="AB549" i="5"/>
  <c r="AA549" i="5"/>
  <c r="AB447" i="5"/>
  <c r="AA447" i="5"/>
  <c r="AA192" i="5"/>
  <c r="AB192" i="5"/>
  <c r="AB486" i="5"/>
  <c r="AA486" i="5"/>
  <c r="AA346" i="5"/>
  <c r="AB346" i="5"/>
  <c r="AA363" i="5"/>
  <c r="AB363" i="5"/>
  <c r="AB88" i="5"/>
  <c r="AA88" i="5"/>
  <c r="AB223" i="5"/>
  <c r="AA223" i="5"/>
  <c r="AA342" i="5"/>
  <c r="AB342" i="5"/>
  <c r="AB278" i="5"/>
  <c r="AA278" i="5"/>
  <c r="AA530" i="5"/>
  <c r="AB530" i="5"/>
  <c r="AB432" i="5"/>
  <c r="AA432" i="5"/>
  <c r="AA490" i="5"/>
  <c r="AB490" i="5"/>
  <c r="AB62" i="5"/>
  <c r="AA62" i="5"/>
  <c r="AA57" i="5"/>
  <c r="AB57" i="5"/>
  <c r="AB259" i="5"/>
  <c r="AA259" i="5"/>
  <c r="AA181" i="5"/>
  <c r="AB181" i="5"/>
  <c r="AA78" i="5"/>
  <c r="AB78" i="5"/>
  <c r="AA376" i="5"/>
  <c r="AB376" i="5"/>
  <c r="AA509" i="5"/>
  <c r="AB509" i="5"/>
  <c r="AA233" i="5"/>
  <c r="AB233" i="5"/>
  <c r="AA554" i="5"/>
  <c r="AB554" i="5"/>
  <c r="AA417" i="5"/>
  <c r="AB417" i="5"/>
  <c r="AB379" i="5"/>
  <c r="AA379" i="5"/>
  <c r="AB211" i="5"/>
  <c r="AA211" i="5"/>
  <c r="AB528" i="5"/>
  <c r="AA528" i="5"/>
  <c r="AA459" i="5"/>
  <c r="AB459" i="5"/>
  <c r="AB350" i="5"/>
  <c r="AA350" i="5"/>
  <c r="AA243" i="5"/>
  <c r="AB243" i="5"/>
  <c r="AB451" i="5"/>
  <c r="AA451" i="5"/>
  <c r="AA444" i="5"/>
  <c r="AB444" i="5"/>
  <c r="AB385" i="5"/>
  <c r="AA385" i="5"/>
  <c r="AA323" i="5"/>
  <c r="AB323" i="5"/>
  <c r="AA99" i="5"/>
  <c r="AB99" i="5"/>
  <c r="AB136" i="5"/>
  <c r="AA136" i="5"/>
  <c r="AA157" i="5"/>
  <c r="AB157" i="5"/>
  <c r="AB210" i="5"/>
  <c r="AA210" i="5"/>
  <c r="AB49" i="5"/>
  <c r="AA49" i="5"/>
  <c r="AB201" i="5"/>
  <c r="AA201" i="5"/>
  <c r="AB383" i="5"/>
  <c r="AA383" i="5"/>
  <c r="AA153" i="5"/>
  <c r="AB153" i="5"/>
  <c r="AB479" i="5"/>
  <c r="AA479" i="5"/>
  <c r="AB224" i="5"/>
  <c r="AA224" i="5"/>
  <c r="AB394" i="5"/>
  <c r="AA394" i="5"/>
  <c r="AB176" i="5"/>
  <c r="AA176" i="5"/>
  <c r="AB173" i="5"/>
  <c r="AA173" i="5"/>
  <c r="AB108" i="5"/>
  <c r="AA108" i="5"/>
  <c r="AA307" i="5"/>
  <c r="AB307" i="5"/>
  <c r="AA113" i="5"/>
  <c r="AB113" i="5"/>
  <c r="AB32" i="5"/>
  <c r="AA32" i="5"/>
  <c r="AB396" i="5"/>
  <c r="AA396" i="5"/>
  <c r="AA541" i="5"/>
  <c r="AB541" i="5"/>
  <c r="AA423" i="5"/>
  <c r="AB423" i="5"/>
  <c r="AB294" i="5"/>
  <c r="AA294" i="5"/>
  <c r="AB70" i="5"/>
  <c r="AA70" i="5"/>
  <c r="AB284" i="5"/>
  <c r="AA284" i="5"/>
  <c r="AB42" i="5"/>
  <c r="AA42" i="5"/>
  <c r="AA268" i="5"/>
  <c r="AB268" i="5"/>
  <c r="AB286" i="5"/>
  <c r="AA286" i="5"/>
  <c r="AB392" i="5"/>
  <c r="AA392" i="5"/>
  <c r="AA158" i="5"/>
  <c r="AB158" i="5"/>
  <c r="AB250" i="5"/>
  <c r="AA250" i="5"/>
  <c r="AA489" i="5"/>
  <c r="AB489" i="5"/>
  <c r="AA551" i="5"/>
  <c r="AB551" i="5"/>
  <c r="AA160" i="5"/>
  <c r="AB160" i="5"/>
  <c r="AB340" i="5"/>
  <c r="AA340" i="5"/>
  <c r="AB117" i="5"/>
  <c r="AA117" i="5"/>
  <c r="AB519" i="5"/>
  <c r="AA519" i="5"/>
  <c r="AA220" i="5"/>
  <c r="AB220" i="5"/>
  <c r="AB437" i="5"/>
  <c r="AA437" i="5"/>
  <c r="AA478" i="5"/>
  <c r="AB478" i="5"/>
  <c r="AA550" i="5"/>
  <c r="AB550" i="5"/>
  <c r="AB167" i="5"/>
  <c r="AA167" i="5"/>
  <c r="AB155" i="5"/>
  <c r="AA155" i="5"/>
  <c r="AA56" i="5"/>
  <c r="AB56" i="5"/>
  <c r="AA86" i="5"/>
  <c r="AB86" i="5"/>
  <c r="AA472" i="5"/>
  <c r="AB472" i="5"/>
  <c r="AB189" i="5"/>
  <c r="AA189" i="5"/>
  <c r="AA292" i="5"/>
  <c r="AB292" i="5"/>
  <c r="AB391" i="5"/>
  <c r="AA391" i="5"/>
  <c r="AB123" i="5"/>
  <c r="AA123" i="5"/>
  <c r="AA227" i="5"/>
  <c r="AB227" i="5"/>
  <c r="AB37" i="5"/>
  <c r="AA37" i="5"/>
  <c r="AB147" i="5"/>
  <c r="AA147" i="5"/>
  <c r="AB290" i="5"/>
  <c r="AA290" i="5"/>
  <c r="AB251" i="5"/>
  <c r="AA251" i="5"/>
  <c r="AB421" i="5"/>
  <c r="AA421" i="5"/>
  <c r="AA168" i="5"/>
  <c r="AB168" i="5"/>
  <c r="AA126" i="5"/>
  <c r="AB126" i="5"/>
  <c r="AA103" i="5"/>
  <c r="AB103" i="5"/>
  <c r="AB369" i="5"/>
  <c r="AA369" i="5"/>
  <c r="AA61" i="5"/>
  <c r="AB61" i="5"/>
  <c r="AB272" i="5"/>
  <c r="AA272" i="5"/>
  <c r="AA118" i="5"/>
  <c r="AB118" i="5"/>
  <c r="AA266" i="5"/>
  <c r="AB266" i="5"/>
  <c r="AB195" i="5"/>
  <c r="AA195" i="5"/>
  <c r="AA287" i="5"/>
  <c r="AB287" i="5"/>
  <c r="AB270" i="5"/>
  <c r="AA270" i="5"/>
  <c r="AA428" i="5"/>
  <c r="AB428" i="5"/>
  <c r="AB351" i="5"/>
  <c r="AA351" i="5"/>
  <c r="AA387" i="5"/>
  <c r="AB387" i="5"/>
  <c r="AB513" i="5"/>
  <c r="AA513" i="5"/>
  <c r="AA373" i="5"/>
  <c r="AB373" i="5"/>
  <c r="AA180" i="5"/>
  <c r="AB180" i="5"/>
  <c r="AB311" i="5"/>
  <c r="AA311" i="5"/>
  <c r="AA445" i="5"/>
  <c r="AB445" i="5"/>
  <c r="AA38" i="5"/>
  <c r="AB38" i="5"/>
  <c r="AB69" i="5"/>
  <c r="AA69" i="5"/>
  <c r="AA72" i="5"/>
  <c r="AB72" i="5"/>
  <c r="AA35" i="5"/>
  <c r="AB35" i="5"/>
  <c r="AB555" i="5"/>
  <c r="AA555" i="5"/>
  <c r="AA546" i="5"/>
  <c r="AB546" i="5"/>
  <c r="AA448" i="5"/>
  <c r="AB448" i="5"/>
  <c r="AB96" i="5"/>
  <c r="AA96" i="5"/>
  <c r="AB319" i="5"/>
  <c r="AA319" i="5"/>
  <c r="AA237" i="5"/>
  <c r="AB237" i="5"/>
  <c r="AA430" i="5"/>
  <c r="AB430" i="5"/>
  <c r="AB183" i="5"/>
  <c r="AA183" i="5"/>
  <c r="AA95" i="5"/>
  <c r="AB95" i="5"/>
  <c r="AA245" i="5"/>
  <c r="AB245" i="5"/>
  <c r="AA76" i="5"/>
  <c r="AB76" i="5"/>
  <c r="AB89" i="5"/>
  <c r="AA89" i="5"/>
  <c r="AB44" i="5"/>
  <c r="AA44" i="5"/>
  <c r="AB135" i="5"/>
  <c r="AA135" i="5"/>
  <c r="AB283" i="5"/>
  <c r="AA283" i="5"/>
  <c r="AB514" i="5"/>
  <c r="AA514" i="5"/>
  <c r="AA461" i="5"/>
  <c r="AB461" i="5"/>
  <c r="AB68" i="5"/>
  <c r="AA68" i="5"/>
  <c r="AA500" i="5"/>
  <c r="AB500" i="5"/>
  <c r="AA191" i="5"/>
  <c r="AB191" i="5"/>
  <c r="AA436" i="5"/>
  <c r="AB436" i="5"/>
  <c r="AA377" i="5"/>
  <c r="AB377" i="5"/>
  <c r="AB51" i="5"/>
  <c r="AA51" i="5"/>
  <c r="AA331" i="5"/>
  <c r="AB331" i="5"/>
  <c r="AA492" i="5"/>
  <c r="AB492" i="5"/>
  <c r="AB197" i="5"/>
  <c r="AA197" i="5"/>
  <c r="AA232" i="5"/>
  <c r="AB232" i="5"/>
  <c r="AB71" i="5"/>
  <c r="AA71" i="5"/>
  <c r="AB20" i="5"/>
  <c r="AA20" i="5"/>
  <c r="AA257" i="5"/>
  <c r="AB257" i="5"/>
  <c r="AA239" i="5"/>
  <c r="AB239" i="5"/>
  <c r="AA82" i="5"/>
  <c r="AB82" i="5"/>
  <c r="AB460" i="5"/>
  <c r="AA460" i="5"/>
  <c r="AB274" i="5"/>
  <c r="AA274" i="5"/>
  <c r="AB410" i="5"/>
  <c r="AA410" i="5"/>
  <c r="AB264" i="5"/>
  <c r="AA264" i="5"/>
  <c r="AA149" i="5"/>
  <c r="AB149" i="5"/>
  <c r="AB45" i="5"/>
  <c r="AA45" i="5"/>
  <c r="AA401" i="5"/>
  <c r="AB401" i="5"/>
  <c r="AA529" i="5"/>
  <c r="AB529" i="5"/>
  <c r="AA91" i="5"/>
  <c r="AB91" i="5"/>
  <c r="AB405" i="5"/>
  <c r="AA405" i="5"/>
  <c r="AB175" i="5"/>
  <c r="AA175" i="5"/>
  <c r="AA501" i="5"/>
  <c r="AB501" i="5"/>
  <c r="AA31" i="5"/>
  <c r="AB31" i="5"/>
  <c r="AA244" i="5"/>
  <c r="AB244" i="5"/>
  <c r="AB260" i="5"/>
  <c r="AA260" i="5"/>
  <c r="AB170" i="5"/>
  <c r="AA170" i="5"/>
  <c r="AA539" i="5"/>
  <c r="AB539" i="5"/>
  <c r="AB512" i="5"/>
  <c r="AA512" i="5"/>
  <c r="AA406" i="5"/>
  <c r="AB406" i="5"/>
  <c r="AB343" i="5"/>
  <c r="AA343" i="5"/>
  <c r="AB452" i="5"/>
  <c r="AA452" i="5"/>
  <c r="AA353" i="5"/>
  <c r="AB353" i="5"/>
  <c r="AA556" i="5"/>
  <c r="AB556" i="5"/>
  <c r="AB441" i="5"/>
  <c r="AA441" i="5"/>
  <c r="AB67" i="5"/>
  <c r="AA67" i="5"/>
  <c r="AA344" i="5"/>
  <c r="AB344" i="5"/>
  <c r="AA371" i="5"/>
  <c r="AB371" i="5"/>
  <c r="AA164" i="5"/>
  <c r="AB164" i="5"/>
  <c r="AB150" i="5"/>
  <c r="AA150" i="5"/>
  <c r="AA101" i="5"/>
  <c r="AB101" i="5"/>
  <c r="AA293" i="5"/>
  <c r="AB293" i="5"/>
  <c r="AB185" i="5"/>
  <c r="AA185" i="5"/>
  <c r="AB398" i="5"/>
  <c r="AA398" i="5"/>
  <c r="AA105" i="5"/>
  <c r="AB105" i="5"/>
  <c r="AB425" i="5"/>
  <c r="AA425" i="5"/>
  <c r="AA545" i="5"/>
  <c r="AB545" i="5"/>
  <c r="AA174" i="5"/>
  <c r="AB174" i="5"/>
  <c r="AA360" i="5"/>
  <c r="AB360" i="5"/>
  <c r="AB58" i="5"/>
  <c r="AA58" i="5"/>
  <c r="AA29" i="5"/>
  <c r="AB29" i="5"/>
  <c r="AA532" i="5"/>
  <c r="AB532" i="5"/>
  <c r="AB295" i="5"/>
  <c r="AA295" i="5"/>
  <c r="AB83" i="5"/>
  <c r="AA83" i="5"/>
  <c r="AB477" i="5"/>
  <c r="AA477" i="5"/>
  <c r="AA151" i="5"/>
  <c r="AB151" i="5"/>
  <c r="AB261" i="5"/>
  <c r="AA261" i="5"/>
  <c r="AA235" i="5"/>
  <c r="AB235" i="5"/>
  <c r="AB328" i="5"/>
  <c r="AA328" i="5"/>
  <c r="AB381" i="5"/>
  <c r="AA381" i="5"/>
  <c r="AA538" i="5"/>
  <c r="AB538" i="5"/>
  <c r="AB540" i="5"/>
  <c r="AA540" i="5"/>
  <c r="AA298" i="5"/>
  <c r="AB298" i="5"/>
  <c r="AA74" i="5"/>
  <c r="AB74" i="5"/>
  <c r="AB370" i="5"/>
  <c r="AA370" i="5"/>
  <c r="AA231" i="5"/>
  <c r="AB231" i="5"/>
  <c r="AA384" i="5"/>
  <c r="AB384" i="5"/>
  <c r="AA523" i="5"/>
  <c r="AB523" i="5"/>
  <c r="AA214" i="5"/>
  <c r="AB214" i="5"/>
  <c r="AA140" i="5"/>
  <c r="AB140" i="5"/>
  <c r="AA326" i="5"/>
  <c r="AB326" i="5"/>
  <c r="AA213" i="5"/>
  <c r="AB213" i="5"/>
  <c r="AA73" i="5"/>
  <c r="AB73" i="5"/>
  <c r="AA339" i="5"/>
  <c r="AB339" i="5"/>
  <c r="AA258" i="5"/>
  <c r="AB258" i="5"/>
  <c r="AA508" i="5"/>
  <c r="AB508" i="5"/>
  <c r="AA517" i="5"/>
  <c r="AB517" i="5"/>
  <c r="AB466" i="5"/>
  <c r="AA466" i="5"/>
  <c r="AA301" i="5"/>
  <c r="AB301" i="5"/>
  <c r="AA413" i="5"/>
  <c r="AB413" i="5"/>
  <c r="AA534" i="5"/>
  <c r="AB534" i="5"/>
  <c r="AA48" i="5"/>
  <c r="AB48" i="5"/>
  <c r="AA547" i="5"/>
  <c r="AB547" i="5"/>
  <c r="AB36" i="5"/>
  <c r="AA36" i="5"/>
  <c r="AB156" i="5"/>
  <c r="AA156" i="5"/>
  <c r="AB321" i="5"/>
  <c r="AA321" i="5"/>
  <c r="AA212" i="5"/>
  <c r="AB212" i="5"/>
  <c r="AB474" i="5"/>
  <c r="AA474" i="5"/>
  <c r="AB476" i="5"/>
  <c r="AA476" i="5"/>
  <c r="AA228" i="5"/>
  <c r="AB228" i="5"/>
  <c r="AB30" i="5"/>
  <c r="AA30" i="5"/>
  <c r="AA521" i="5"/>
  <c r="AB521" i="5"/>
  <c r="AA458" i="5"/>
  <c r="AB458" i="5"/>
  <c r="AA254" i="5"/>
  <c r="AB254" i="5"/>
  <c r="AB247" i="5"/>
  <c r="AA247" i="5"/>
  <c r="AA75" i="5"/>
  <c r="AB75" i="5"/>
  <c r="AB46" i="5"/>
  <c r="AA46" i="5"/>
  <c r="AB380" i="5"/>
  <c r="AA380" i="5"/>
  <c r="AB310" i="5"/>
  <c r="AA310" i="5"/>
  <c r="AB256" i="5"/>
  <c r="AA256" i="5"/>
  <c r="AA325" i="5"/>
  <c r="AB325" i="5"/>
  <c r="AB28" i="5"/>
  <c r="AA28" i="5"/>
  <c r="AB400" i="5"/>
  <c r="AA400" i="5"/>
  <c r="AA127" i="5"/>
  <c r="AB127" i="5"/>
  <c r="AB279" i="5"/>
  <c r="AA279" i="5"/>
  <c r="AB442" i="5"/>
  <c r="AA442" i="5"/>
  <c r="AA22" i="5"/>
  <c r="AB22" i="5"/>
  <c r="AA208" i="5"/>
  <c r="AB208" i="5"/>
  <c r="AB302" i="5"/>
  <c r="AA302" i="5"/>
  <c r="AB395" i="5"/>
  <c r="AA395" i="5"/>
  <c r="AA465" i="5"/>
  <c r="AB465" i="5"/>
  <c r="AB207" i="5"/>
  <c r="AA207" i="5"/>
  <c r="AB236" i="5"/>
  <c r="AA236" i="5"/>
  <c r="AA506" i="5"/>
  <c r="AB506" i="5"/>
  <c r="AA55" i="5"/>
  <c r="AB55" i="5"/>
  <c r="AA143" i="5"/>
  <c r="AB143" i="5"/>
  <c r="AA315" i="5"/>
  <c r="AB315" i="5"/>
  <c r="AA407" i="5"/>
  <c r="AB407" i="5"/>
  <c r="AB265" i="5"/>
  <c r="AA265" i="5"/>
  <c r="AA415" i="5"/>
  <c r="AB415" i="5"/>
  <c r="AA59" i="5"/>
  <c r="AB59" i="5"/>
  <c r="AB171" i="5"/>
  <c r="AA171" i="5"/>
  <c r="AB25" i="5"/>
  <c r="AA25" i="5"/>
  <c r="AA110" i="5"/>
  <c r="AB110" i="5"/>
  <c r="AA498" i="5"/>
  <c r="AB498" i="5"/>
  <c r="AA64" i="5"/>
  <c r="AB64" i="5"/>
  <c r="AB349" i="5"/>
  <c r="AA349" i="5"/>
  <c r="AA85" i="5"/>
  <c r="AB85" i="5"/>
  <c r="AA280" i="5"/>
  <c r="AB280" i="5"/>
  <c r="AA493" i="5"/>
  <c r="AB493" i="5"/>
  <c r="AA198" i="5"/>
  <c r="AB198" i="5"/>
  <c r="AB296" i="5"/>
  <c r="AA296" i="5"/>
  <c r="AA533" i="5"/>
  <c r="AB533" i="5"/>
  <c r="AB313" i="5"/>
  <c r="AA313" i="5"/>
  <c r="AB386" i="5"/>
  <c r="AA386" i="5"/>
  <c r="AB482" i="5"/>
  <c r="AA482" i="5"/>
  <c r="AA399" i="5"/>
  <c r="AB399" i="5"/>
  <c r="AA275" i="5"/>
  <c r="AB275" i="5"/>
  <c r="AB306" i="5"/>
  <c r="AA306" i="5"/>
  <c r="AB412" i="5"/>
  <c r="AA412" i="5"/>
  <c r="AA152" i="5"/>
  <c r="AB152" i="5"/>
  <c r="AB262" i="5"/>
  <c r="AA262" i="5"/>
  <c r="AB368" i="5"/>
  <c r="AA368" i="5"/>
  <c r="AA332" i="5"/>
  <c r="AB332" i="5"/>
  <c r="AB141" i="5"/>
  <c r="AA141" i="5"/>
  <c r="AA50" i="5"/>
  <c r="AB50" i="5"/>
  <c r="AA422" i="5"/>
  <c r="AB422" i="5"/>
  <c r="AB269" i="5"/>
  <c r="AA269" i="5"/>
  <c r="AB324" i="5"/>
  <c r="AA324" i="5"/>
  <c r="AB229" i="5"/>
  <c r="AA229" i="5"/>
  <c r="AA446" i="5"/>
  <c r="AB446" i="5"/>
  <c r="AB347" i="5"/>
  <c r="AA347" i="5"/>
  <c r="AB515" i="5"/>
  <c r="AA515" i="5"/>
  <c r="AA139" i="5"/>
  <c r="AB139" i="5"/>
  <c r="AA39" i="5"/>
  <c r="AB39" i="5"/>
  <c r="AB87" i="5"/>
  <c r="AA87" i="5"/>
  <c r="AB122" i="5"/>
  <c r="AA122" i="5"/>
  <c r="AB33" i="5"/>
  <c r="AA33" i="5"/>
  <c r="AB467" i="5"/>
  <c r="AA467" i="5"/>
  <c r="AB393" i="5"/>
  <c r="AA393" i="5"/>
  <c r="AB206" i="5"/>
  <c r="AA206" i="5"/>
  <c r="AB199" i="5"/>
  <c r="AA199" i="5"/>
  <c r="AA525" i="5"/>
  <c r="AB525" i="5"/>
  <c r="AB148" i="5"/>
  <c r="AA148" i="5"/>
  <c r="AA511" i="5"/>
  <c r="AB511" i="5"/>
  <c r="AB203" i="5"/>
  <c r="AA203" i="5"/>
  <c r="AA455" i="5"/>
  <c r="AB455" i="5"/>
  <c r="AA308" i="5"/>
  <c r="AB308" i="5"/>
  <c r="AA252" i="5"/>
  <c r="AB252" i="5"/>
  <c r="B13" i="2" l="1"/>
  <c r="B31" i="5" l="1"/>
  <c r="O10" i="5" s="1"/>
  <c r="B70" i="2"/>
  <c r="B71" i="2" s="1"/>
  <c r="B54" i="2"/>
  <c r="B55" i="2" s="1"/>
  <c r="B62" i="2"/>
  <c r="B20" i="5"/>
  <c r="B14" i="2"/>
  <c r="B156" i="2"/>
  <c r="B162" i="2" s="1"/>
  <c r="B42" i="2"/>
  <c r="B168" i="2"/>
  <c r="B57" i="2"/>
  <c r="B70" i="5"/>
  <c r="O12" i="4"/>
  <c r="B248" i="2"/>
  <c r="B17" i="5"/>
  <c r="B197" i="2"/>
  <c r="B198" i="2" s="1"/>
  <c r="B206" i="2" s="1"/>
  <c r="B117" i="2"/>
  <c r="H41" i="1" s="1"/>
  <c r="B15" i="2"/>
  <c r="H15" i="1" s="1"/>
  <c r="B65" i="2"/>
  <c r="B73" i="2"/>
  <c r="B35" i="2"/>
  <c r="B36" i="2" s="1"/>
  <c r="B40" i="2"/>
  <c r="B107" i="2"/>
  <c r="B266" i="2"/>
  <c r="B267" i="2" s="1"/>
  <c r="B268" i="2" l="1"/>
  <c r="B43" i="2"/>
  <c r="B45" i="2" s="1"/>
  <c r="H22" i="1" s="1"/>
  <c r="B104" i="2"/>
  <c r="B105" i="2" s="1"/>
  <c r="B63" i="2"/>
  <c r="K93" i="2"/>
  <c r="B204" i="2"/>
  <c r="B201" i="2"/>
  <c r="B202" i="2" s="1"/>
  <c r="B56" i="2"/>
  <c r="B94" i="2"/>
  <c r="B83" i="2"/>
  <c r="B58" i="2"/>
  <c r="B109" i="2" s="1"/>
  <c r="B196" i="2"/>
  <c r="B72" i="2"/>
  <c r="B95" i="2"/>
  <c r="B74" i="2"/>
  <c r="B75" i="2" s="1"/>
  <c r="AW10" i="5"/>
  <c r="AZ10" i="5"/>
  <c r="AT10" i="5"/>
  <c r="T10" i="5"/>
  <c r="AJ10" i="5"/>
  <c r="Z10" i="5"/>
  <c r="B43" i="5"/>
  <c r="W231" i="5"/>
  <c r="W249" i="5"/>
  <c r="W400" i="5"/>
  <c r="W436" i="5"/>
  <c r="W148" i="5"/>
  <c r="W20" i="5"/>
  <c r="W376" i="5"/>
  <c r="W410" i="5"/>
  <c r="W499" i="5"/>
  <c r="W109" i="5"/>
  <c r="W501" i="5"/>
  <c r="W262" i="5"/>
  <c r="W416" i="5"/>
  <c r="W83" i="5"/>
  <c r="W23" i="5"/>
  <c r="W511" i="5"/>
  <c r="W168" i="5"/>
  <c r="W317" i="5"/>
  <c r="W151" i="5"/>
  <c r="W212" i="5"/>
  <c r="W229" i="5"/>
  <c r="W541" i="5"/>
  <c r="W388" i="5"/>
  <c r="W305" i="5"/>
  <c r="W466" i="5"/>
  <c r="W381" i="5"/>
  <c r="W343" i="5"/>
  <c r="W239" i="5"/>
  <c r="W89" i="5"/>
  <c r="W115" i="5"/>
  <c r="W187" i="5"/>
  <c r="W497" i="5"/>
  <c r="W140" i="5"/>
  <c r="W253" i="5"/>
  <c r="W179" i="5"/>
  <c r="W207" i="5"/>
  <c r="W379" i="5"/>
  <c r="W217" i="5"/>
  <c r="W10" i="5"/>
  <c r="W293" i="5"/>
  <c r="W413" i="5"/>
  <c r="W415" i="5"/>
  <c r="W418" i="5"/>
  <c r="W297" i="5"/>
  <c r="W160" i="5"/>
  <c r="W110" i="5"/>
  <c r="W180" i="5"/>
  <c r="W144" i="5"/>
  <c r="W339" i="5"/>
  <c r="W36" i="5"/>
  <c r="W480" i="5"/>
  <c r="W42" i="5"/>
  <c r="W311" i="5"/>
  <c r="W198" i="5"/>
  <c r="W101" i="5"/>
  <c r="W422" i="5"/>
  <c r="W485" i="5"/>
  <c r="W30" i="5"/>
  <c r="W19" i="5"/>
  <c r="W552" i="5"/>
  <c r="W348" i="5"/>
  <c r="W166" i="5"/>
  <c r="W215" i="5"/>
  <c r="W414" i="5"/>
  <c r="W246" i="5"/>
  <c r="W121" i="5"/>
  <c r="W368" i="5"/>
  <c r="W84" i="5"/>
  <c r="W200" i="5"/>
  <c r="W393" i="5"/>
  <c r="W173" i="5"/>
  <c r="W443" i="5"/>
  <c r="W74" i="5"/>
  <c r="W296" i="5"/>
  <c r="W267" i="5"/>
  <c r="W133" i="5"/>
  <c r="W334" i="5"/>
  <c r="W25" i="5"/>
  <c r="W165" i="5"/>
  <c r="W142" i="5"/>
  <c r="W437" i="5"/>
  <c r="W295" i="5"/>
  <c r="W369" i="5"/>
  <c r="W278" i="5"/>
  <c r="W92" i="5"/>
  <c r="W482" i="5"/>
  <c r="W105" i="5"/>
  <c r="W351" i="5"/>
  <c r="W208" i="5"/>
  <c r="W507" i="5"/>
  <c r="W233" i="5"/>
  <c r="W438" i="5"/>
  <c r="W221" i="5"/>
  <c r="W395" i="5"/>
  <c r="W98" i="5"/>
  <c r="W52" i="5"/>
  <c r="W269" i="5"/>
  <c r="W209" i="5"/>
  <c r="W122" i="5"/>
  <c r="W540" i="5"/>
  <c r="W145" i="5"/>
  <c r="W440" i="5"/>
  <c r="W237" i="5"/>
  <c r="W314" i="5"/>
  <c r="W301" i="5"/>
  <c r="W352" i="5"/>
  <c r="W548" i="5"/>
  <c r="W412" i="5"/>
  <c r="W177" i="5"/>
  <c r="W248" i="5"/>
  <c r="W93" i="5"/>
  <c r="W327" i="5"/>
  <c r="W34" i="5"/>
  <c r="W555" i="5"/>
  <c r="W522" i="5"/>
  <c r="W409" i="5"/>
  <c r="W199" i="5"/>
  <c r="W335" i="5"/>
  <c r="W329" i="5"/>
  <c r="W473" i="5"/>
  <c r="W312" i="5"/>
  <c r="W238" i="5"/>
  <c r="W150" i="5"/>
  <c r="W380" i="5"/>
  <c r="W322" i="5"/>
  <c r="W331" i="5"/>
  <c r="W255" i="5"/>
  <c r="W474" i="5"/>
  <c r="W29" i="5"/>
  <c r="W556" i="5"/>
  <c r="W386" i="5"/>
  <c r="W375" i="5"/>
  <c r="W471" i="5"/>
  <c r="W80" i="5"/>
  <c r="W515" i="5"/>
  <c r="W87" i="5"/>
  <c r="W472" i="5"/>
  <c r="W496" i="5"/>
  <c r="W226" i="5"/>
  <c r="W508" i="5"/>
  <c r="W408" i="5"/>
  <c r="W65" i="5"/>
  <c r="W519" i="5"/>
  <c r="W182" i="5"/>
  <c r="W542" i="5"/>
  <c r="W433" i="5"/>
  <c r="W28" i="5"/>
  <c r="W154" i="5"/>
  <c r="W38" i="5"/>
  <c r="W242" i="5"/>
  <c r="W169" i="5"/>
  <c r="W90" i="5"/>
  <c r="W68" i="5"/>
  <c r="W271" i="5"/>
  <c r="W40" i="5"/>
  <c r="W423" i="5"/>
  <c r="W385" i="5"/>
  <c r="W315" i="5"/>
  <c r="W323" i="5"/>
  <c r="W453" i="5"/>
  <c r="W359" i="5"/>
  <c r="W69" i="5"/>
  <c r="W94" i="5"/>
  <c r="W537" i="5"/>
  <c r="W491" i="5"/>
  <c r="W70" i="5"/>
  <c r="W425" i="5"/>
  <c r="W158" i="5"/>
  <c r="W178" i="5"/>
  <c r="W476" i="5"/>
  <c r="W203" i="5"/>
  <c r="W44" i="5"/>
  <c r="W294" i="5"/>
  <c r="W60" i="5"/>
  <c r="W131" i="5"/>
  <c r="W454" i="5"/>
  <c r="W75" i="5"/>
  <c r="W426" i="5"/>
  <c r="W172" i="5"/>
  <c r="W256" i="5"/>
  <c r="W326" i="5"/>
  <c r="W553" i="5"/>
  <c r="W447" i="5"/>
  <c r="W434" i="5"/>
  <c r="W467" i="5"/>
  <c r="W37" i="5"/>
  <c r="W464" i="5"/>
  <c r="W358" i="5"/>
  <c r="W228" i="5"/>
  <c r="W300" i="5"/>
  <c r="W407" i="5"/>
  <c r="W486" i="5"/>
  <c r="W350" i="5"/>
  <c r="W549" i="5"/>
  <c r="W536" i="5"/>
  <c r="W117" i="5"/>
  <c r="W390" i="5"/>
  <c r="W214" i="5"/>
  <c r="W399" i="5"/>
  <c r="W371" i="5"/>
  <c r="W273" i="5"/>
  <c r="W492" i="5"/>
  <c r="W532" i="5"/>
  <c r="W204" i="5"/>
  <c r="W136" i="5"/>
  <c r="W243" i="5"/>
  <c r="W95" i="5"/>
  <c r="W216" i="5"/>
  <c r="W282" i="5"/>
  <c r="W302" i="5"/>
  <c r="W279" i="5"/>
  <c r="W31" i="5"/>
  <c r="W543" i="5"/>
  <c r="W106" i="5"/>
  <c r="W251" i="5"/>
  <c r="W245" i="5"/>
  <c r="W506" i="5"/>
  <c r="W505" i="5"/>
  <c r="W502" i="5"/>
  <c r="W235" i="5"/>
  <c r="W62" i="5"/>
  <c r="W224" i="5"/>
  <c r="W487" i="5"/>
  <c r="W47" i="5"/>
  <c r="W382" i="5"/>
  <c r="W220" i="5"/>
  <c r="W35" i="5"/>
  <c r="W420" i="5"/>
  <c r="W266" i="5"/>
  <c r="W394" i="5"/>
  <c r="W364" i="5"/>
  <c r="W435" i="5"/>
  <c r="W164" i="5"/>
  <c r="W114" i="5"/>
  <c r="W392" i="5"/>
  <c r="W465" i="5"/>
  <c r="W59" i="5"/>
  <c r="W349" i="5"/>
  <c r="W211" i="5"/>
  <c r="W167" i="5"/>
  <c r="W138" i="5"/>
  <c r="W504" i="5"/>
  <c r="W257" i="5"/>
  <c r="W247" i="5"/>
  <c r="W517" i="5"/>
  <c r="W461" i="5"/>
  <c r="W360" i="5"/>
  <c r="W64" i="5"/>
  <c r="W123" i="5"/>
  <c r="W298" i="5"/>
  <c r="W141" i="5"/>
  <c r="W307" i="5"/>
  <c r="W325" i="5"/>
  <c r="W452" i="5"/>
  <c r="W32" i="5"/>
  <c r="W442" i="5"/>
  <c r="W469" i="5"/>
  <c r="W196" i="5"/>
  <c r="W367" i="5"/>
  <c r="W459" i="5"/>
  <c r="W421" i="5"/>
  <c r="W281" i="5"/>
  <c r="W355" i="5"/>
  <c r="W85" i="5"/>
  <c r="W139" i="5"/>
  <c r="W76" i="5"/>
  <c r="W526" i="5"/>
  <c r="W309" i="5"/>
  <c r="W468" i="5"/>
  <c r="W191" i="5"/>
  <c r="W176" i="5"/>
  <c r="W265" i="5"/>
  <c r="W374" i="5"/>
  <c r="W332" i="5"/>
  <c r="W272" i="5"/>
  <c r="W346" i="5"/>
  <c r="W67" i="5"/>
  <c r="W481" i="5"/>
  <c r="W450" i="5"/>
  <c r="W488" i="5"/>
  <c r="W189" i="5"/>
  <c r="W119" i="5"/>
  <c r="W197" i="5"/>
  <c r="W304" i="5"/>
  <c r="W299" i="5"/>
  <c r="W558" i="5"/>
  <c r="W268" i="5"/>
  <c r="W88" i="5"/>
  <c r="W523" i="5"/>
  <c r="W503" i="5"/>
  <c r="W303" i="5"/>
  <c r="W403" i="5"/>
  <c r="W475" i="5"/>
  <c r="W157" i="5"/>
  <c r="W50" i="5"/>
  <c r="W71" i="5"/>
  <c r="W56" i="5"/>
  <c r="W338" i="5"/>
  <c r="W186" i="5"/>
  <c r="W125" i="5"/>
  <c r="W354" i="5"/>
  <c r="W545" i="5"/>
  <c r="W111" i="5"/>
  <c r="W306" i="5"/>
  <c r="W33" i="5"/>
  <c r="W223" i="5"/>
  <c r="W534" i="5"/>
  <c r="W328" i="5"/>
  <c r="W82" i="5"/>
  <c r="W455" i="5"/>
  <c r="W49" i="5"/>
  <c r="W366" i="5"/>
  <c r="W183" i="5"/>
  <c r="W318" i="5"/>
  <c r="W533" i="5"/>
  <c r="W39" i="5"/>
  <c r="W495" i="5"/>
  <c r="W361" i="5"/>
  <c r="W402" i="5"/>
  <c r="W73" i="5"/>
  <c r="W405" i="5"/>
  <c r="W554" i="5"/>
  <c r="W58" i="5"/>
  <c r="W21" i="5"/>
  <c r="W97" i="5"/>
  <c r="W149" i="5"/>
  <c r="W347" i="5"/>
  <c r="W383" i="5"/>
  <c r="W451" i="5"/>
  <c r="W518" i="5"/>
  <c r="W406" i="5"/>
  <c r="W557" i="5"/>
  <c r="W462" i="5"/>
  <c r="W330" i="5"/>
  <c r="W100" i="5"/>
  <c r="W477" i="5"/>
  <c r="W108" i="5"/>
  <c r="W241" i="5"/>
  <c r="W77" i="5"/>
  <c r="W286" i="5"/>
  <c r="W490" i="5"/>
  <c r="W547" i="5"/>
  <c r="W458" i="5"/>
  <c r="W377" i="5"/>
  <c r="W72" i="5"/>
  <c r="W550" i="5"/>
  <c r="W512" i="5"/>
  <c r="W146" i="5"/>
  <c r="W270" i="5"/>
  <c r="W290" i="5"/>
  <c r="W531" i="5"/>
  <c r="W86" i="5"/>
  <c r="W161" i="5"/>
  <c r="W484" i="5"/>
  <c r="W356" i="5"/>
  <c r="W45" i="5"/>
  <c r="W539" i="5"/>
  <c r="W538" i="5"/>
  <c r="W316" i="5"/>
  <c r="W171" i="5"/>
  <c r="W24" i="5"/>
  <c r="W521" i="5"/>
  <c r="W446" i="5"/>
  <c r="W320" i="5"/>
  <c r="W510" i="5"/>
  <c r="W276" i="5"/>
  <c r="W46" i="5"/>
  <c r="W353" i="5"/>
  <c r="W188" i="5"/>
  <c r="W373" i="5"/>
  <c r="W513" i="5"/>
  <c r="W130" i="5"/>
  <c r="W127" i="5"/>
  <c r="W254" i="5"/>
  <c r="W288" i="5"/>
  <c r="W365" i="5"/>
  <c r="W193" i="5"/>
  <c r="W8" i="5"/>
  <c r="W258" i="5"/>
  <c r="W184" i="5"/>
  <c r="W509" i="5"/>
  <c r="W192" i="5"/>
  <c r="W124" i="5"/>
  <c r="W259" i="5"/>
  <c r="W551" i="5"/>
  <c r="W524" i="5"/>
  <c r="W389" i="5"/>
  <c r="W274" i="5"/>
  <c r="W120" i="5"/>
  <c r="W126" i="5"/>
  <c r="W12" i="5"/>
  <c r="W319" i="5"/>
  <c r="W457" i="5"/>
  <c r="W396" i="5"/>
  <c r="W53" i="5"/>
  <c r="W205" i="5"/>
  <c r="W445" i="5"/>
  <c r="W357" i="5"/>
  <c r="W287" i="5"/>
  <c r="W341" i="5"/>
  <c r="W308" i="5"/>
  <c r="W285" i="5"/>
  <c r="W345" i="5"/>
  <c r="W283" i="5"/>
  <c r="W61" i="5"/>
  <c r="W559" i="5"/>
  <c r="W132" i="5"/>
  <c r="W498" i="5"/>
  <c r="W63" i="5"/>
  <c r="W54" i="5"/>
  <c r="W181" i="5"/>
  <c r="W419" i="5"/>
  <c r="W48" i="5"/>
  <c r="W560" i="5"/>
  <c r="W91" i="5"/>
  <c r="W155" i="5"/>
  <c r="W222" i="5"/>
  <c r="W234" i="5"/>
  <c r="W170" i="5"/>
  <c r="W516" i="5"/>
  <c r="W236" i="5"/>
  <c r="W147" i="5"/>
  <c r="W444" i="5"/>
  <c r="W493" i="5"/>
  <c r="W252" i="5"/>
  <c r="W227" i="5"/>
  <c r="W225" i="5"/>
  <c r="W143" i="5"/>
  <c r="W194" i="5"/>
  <c r="W479" i="5"/>
  <c r="W404" i="5"/>
  <c r="W372" i="5"/>
  <c r="W441" i="5"/>
  <c r="W41" i="5"/>
  <c r="W213" i="5"/>
  <c r="W280" i="5"/>
  <c r="W162" i="5"/>
  <c r="W128" i="5"/>
  <c r="W107" i="5"/>
  <c r="W275" i="5"/>
  <c r="W134" i="5"/>
  <c r="W201" i="5"/>
  <c r="W514" i="5"/>
  <c r="W546" i="5"/>
  <c r="W470" i="5"/>
  <c r="W277" i="5"/>
  <c r="W289" i="5"/>
  <c r="W378" i="5"/>
  <c r="W432" i="5"/>
  <c r="W99" i="5"/>
  <c r="W51" i="5"/>
  <c r="W118" i="5"/>
  <c r="W78" i="5"/>
  <c r="W324" i="5"/>
  <c r="W460" i="5"/>
  <c r="W219" i="5"/>
  <c r="W313" i="5"/>
  <c r="W113" i="5"/>
  <c r="W363" i="5"/>
  <c r="W195" i="5"/>
  <c r="W528" i="5"/>
  <c r="W57" i="5"/>
  <c r="W103" i="5"/>
  <c r="W337" i="5"/>
  <c r="W244" i="5"/>
  <c r="W163" i="5"/>
  <c r="W439" i="5"/>
  <c r="W384" i="5"/>
  <c r="W342" i="5"/>
  <c r="W529" i="5"/>
  <c r="W431" i="5"/>
  <c r="W417" i="5"/>
  <c r="W478" i="5"/>
  <c r="W260" i="5"/>
  <c r="W261" i="5"/>
  <c r="W210" i="5"/>
  <c r="W153" i="5"/>
  <c r="W291" i="5"/>
  <c r="W500" i="5"/>
  <c r="W55" i="5"/>
  <c r="W530" i="5"/>
  <c r="W430" i="5"/>
  <c r="W232" i="5"/>
  <c r="W520" i="5"/>
  <c r="W240" i="5"/>
  <c r="W174" i="5"/>
  <c r="W340" i="5"/>
  <c r="W190" i="5"/>
  <c r="W387" i="5"/>
  <c r="W43" i="5"/>
  <c r="W250" i="5"/>
  <c r="W27" i="5"/>
  <c r="W401" i="5"/>
  <c r="O9" i="5"/>
  <c r="W333" i="5"/>
  <c r="W81" i="5"/>
  <c r="W427" i="5"/>
  <c r="W292" i="5"/>
  <c r="W456" i="5"/>
  <c r="W397" i="5"/>
  <c r="W129" i="5"/>
  <c r="W230" i="5"/>
  <c r="W489" i="5"/>
  <c r="W66" i="5"/>
  <c r="W362" i="5"/>
  <c r="W535" i="5"/>
  <c r="W424" i="5"/>
  <c r="W483" i="5"/>
  <c r="W391" i="5"/>
  <c r="W104" i="5"/>
  <c r="W22" i="5"/>
  <c r="W398" i="5"/>
  <c r="W159" i="5"/>
  <c r="W218" i="5"/>
  <c r="W202" i="5"/>
  <c r="W544" i="5"/>
  <c r="W429" i="5"/>
  <c r="W137" i="5"/>
  <c r="W449" i="5"/>
  <c r="W116" i="5"/>
  <c r="W96" i="5"/>
  <c r="W206" i="5"/>
  <c r="W264" i="5"/>
  <c r="W411" i="5"/>
  <c r="W102" i="5"/>
  <c r="W152" i="5"/>
  <c r="W525" i="5"/>
  <c r="W527" i="5"/>
  <c r="W284" i="5"/>
  <c r="W13" i="5"/>
  <c r="W336" i="5"/>
  <c r="W112" i="5"/>
  <c r="W321" i="5"/>
  <c r="W370" i="5"/>
  <c r="W310" i="5"/>
  <c r="W156" i="5"/>
  <c r="W263" i="5"/>
  <c r="W463" i="5"/>
  <c r="W428" i="5"/>
  <c r="W175" i="5"/>
  <c r="W79" i="5"/>
  <c r="W494" i="5"/>
  <c r="W448" i="5"/>
  <c r="W135" i="5"/>
  <c r="W26" i="5"/>
  <c r="W344" i="5"/>
  <c r="W185" i="5"/>
  <c r="B211" i="2"/>
  <c r="B216" i="2" s="1"/>
  <c r="B77" i="5"/>
  <c r="B72" i="5"/>
  <c r="B160" i="2"/>
  <c r="P7" i="5" s="1"/>
  <c r="B36" i="5"/>
  <c r="B73" i="5"/>
  <c r="B112" i="2"/>
  <c r="S21" i="4"/>
  <c r="V21" i="4" s="1"/>
  <c r="S61" i="4"/>
  <c r="V61" i="4" s="1"/>
  <c r="S142" i="4"/>
  <c r="V142" i="4" s="1"/>
  <c r="S9" i="4"/>
  <c r="V9" i="4" s="1"/>
  <c r="S12" i="4"/>
  <c r="V12" i="4" s="1"/>
  <c r="S154" i="4"/>
  <c r="V154" i="4" s="1"/>
  <c r="S80" i="4"/>
  <c r="V80" i="4" s="1"/>
  <c r="S25" i="4"/>
  <c r="V25" i="4" s="1"/>
  <c r="S103" i="4"/>
  <c r="V103" i="4" s="1"/>
  <c r="S67" i="4"/>
  <c r="V67" i="4" s="1"/>
  <c r="S150" i="4"/>
  <c r="V150" i="4" s="1"/>
  <c r="S39" i="4"/>
  <c r="V39" i="4" s="1"/>
  <c r="S71" i="4"/>
  <c r="V71" i="4" s="1"/>
  <c r="S36" i="4"/>
  <c r="V36" i="4" s="1"/>
  <c r="S54" i="4"/>
  <c r="V54" i="4" s="1"/>
  <c r="S95" i="4"/>
  <c r="V95" i="4" s="1"/>
  <c r="S19" i="4"/>
  <c r="V19" i="4" s="1"/>
  <c r="S141" i="4"/>
  <c r="V141" i="4" s="1"/>
  <c r="S57" i="4"/>
  <c r="V57" i="4" s="1"/>
  <c r="S108" i="4"/>
  <c r="V108" i="4" s="1"/>
  <c r="S49" i="4"/>
  <c r="V49" i="4" s="1"/>
  <c r="S143" i="4"/>
  <c r="V143" i="4" s="1"/>
  <c r="S138" i="4"/>
  <c r="V138" i="4" s="1"/>
  <c r="S62" i="4"/>
  <c r="V62" i="4" s="1"/>
  <c r="S111" i="4"/>
  <c r="V111" i="4" s="1"/>
  <c r="S31" i="4"/>
  <c r="V31" i="4" s="1"/>
  <c r="S70" i="4"/>
  <c r="V70" i="4" s="1"/>
  <c r="S102" i="4"/>
  <c r="V102" i="4" s="1"/>
  <c r="S157" i="4"/>
  <c r="V157" i="4" s="1"/>
  <c r="S14" i="4"/>
  <c r="V14" i="4" s="1"/>
  <c r="S51" i="4"/>
  <c r="V51" i="4" s="1"/>
  <c r="S28" i="4"/>
  <c r="V28" i="4" s="1"/>
  <c r="S13" i="4"/>
  <c r="V13" i="4" s="1"/>
  <c r="S33" i="4"/>
  <c r="V33" i="4" s="1"/>
  <c r="S148" i="4"/>
  <c r="V148" i="4" s="1"/>
  <c r="S46" i="4"/>
  <c r="V46" i="4" s="1"/>
  <c r="S155" i="4"/>
  <c r="V155" i="4" s="1"/>
  <c r="S52" i="4"/>
  <c r="V52" i="4" s="1"/>
  <c r="S10" i="4"/>
  <c r="V10" i="4" s="1"/>
  <c r="S56" i="4"/>
  <c r="V56" i="4" s="1"/>
  <c r="S92" i="4"/>
  <c r="V92" i="4" s="1"/>
  <c r="S145" i="4"/>
  <c r="V145" i="4" s="1"/>
  <c r="S84" i="4"/>
  <c r="V84" i="4" s="1"/>
  <c r="S50" i="4"/>
  <c r="V50" i="4" s="1"/>
  <c r="S73" i="4"/>
  <c r="V73" i="4" s="1"/>
  <c r="S101" i="4"/>
  <c r="V101" i="4" s="1"/>
  <c r="S24" i="4"/>
  <c r="V24" i="4" s="1"/>
  <c r="S68" i="4"/>
  <c r="V68" i="4" s="1"/>
  <c r="S133" i="4"/>
  <c r="V133" i="4" s="1"/>
  <c r="S117" i="4"/>
  <c r="V117" i="4" s="1"/>
  <c r="S144" i="4"/>
  <c r="V144" i="4" s="1"/>
  <c r="S96" i="4"/>
  <c r="V96" i="4" s="1"/>
  <c r="S152" i="4"/>
  <c r="V152" i="4" s="1"/>
  <c r="S44" i="4"/>
  <c r="V44" i="4" s="1"/>
  <c r="S35" i="4"/>
  <c r="V35" i="4" s="1"/>
  <c r="S37" i="4"/>
  <c r="V37" i="4" s="1"/>
  <c r="S38" i="4"/>
  <c r="V38" i="4" s="1"/>
  <c r="S17" i="4"/>
  <c r="V17" i="4" s="1"/>
  <c r="S128" i="4"/>
  <c r="V128" i="4" s="1"/>
  <c r="S48" i="4"/>
  <c r="V48" i="4" s="1"/>
  <c r="S124" i="4"/>
  <c r="V124" i="4" s="1"/>
  <c r="S93" i="4"/>
  <c r="V93" i="4" s="1"/>
  <c r="S118" i="4"/>
  <c r="V118" i="4" s="1"/>
  <c r="S41" i="4"/>
  <c r="V41" i="4" s="1"/>
  <c r="S75" i="4"/>
  <c r="V75" i="4" s="1"/>
  <c r="S7" i="4"/>
  <c r="V7" i="4" s="1"/>
  <c r="S106" i="4"/>
  <c r="V106" i="4" s="1"/>
  <c r="S83" i="4"/>
  <c r="V83" i="4" s="1"/>
  <c r="S26" i="4"/>
  <c r="V26" i="4" s="1"/>
  <c r="S30" i="4"/>
  <c r="V30" i="4" s="1"/>
  <c r="S97" i="4"/>
  <c r="V97" i="4" s="1"/>
  <c r="S76" i="4"/>
  <c r="V76" i="4" s="1"/>
  <c r="S127" i="4"/>
  <c r="V127" i="4" s="1"/>
  <c r="S132" i="4"/>
  <c r="V132" i="4" s="1"/>
  <c r="S88" i="4"/>
  <c r="V88" i="4" s="1"/>
  <c r="S34" i="4"/>
  <c r="V34" i="4" s="1"/>
  <c r="S110" i="4"/>
  <c r="V110" i="4" s="1"/>
  <c r="S59" i="4"/>
  <c r="V59" i="4" s="1"/>
  <c r="S114" i="4"/>
  <c r="V114" i="4" s="1"/>
  <c r="S53" i="4"/>
  <c r="V53" i="4" s="1"/>
  <c r="S18" i="4"/>
  <c r="V18" i="4" s="1"/>
  <c r="S42" i="4"/>
  <c r="V42" i="4" s="1"/>
  <c r="S140" i="4"/>
  <c r="V140" i="4" s="1"/>
  <c r="S113" i="4"/>
  <c r="V113" i="4" s="1"/>
  <c r="S123" i="4"/>
  <c r="V123" i="4" s="1"/>
  <c r="S15" i="4"/>
  <c r="V15" i="4" s="1"/>
  <c r="S69" i="4"/>
  <c r="V69" i="4" s="1"/>
  <c r="S87" i="4"/>
  <c r="V87" i="4" s="1"/>
  <c r="S156" i="4"/>
  <c r="V156" i="4" s="1"/>
  <c r="S94" i="4"/>
  <c r="V94" i="4" s="1"/>
  <c r="S20" i="4"/>
  <c r="V20" i="4" s="1"/>
  <c r="S109" i="4"/>
  <c r="V109" i="4" s="1"/>
  <c r="S60" i="4"/>
  <c r="V60" i="4" s="1"/>
  <c r="S86" i="4"/>
  <c r="V86" i="4" s="1"/>
  <c r="S27" i="4"/>
  <c r="V27" i="4" s="1"/>
  <c r="S91" i="4"/>
  <c r="V91" i="4" s="1"/>
  <c r="S77" i="4"/>
  <c r="V77" i="4" s="1"/>
  <c r="S8" i="4"/>
  <c r="V8" i="4" s="1"/>
  <c r="S135" i="4"/>
  <c r="V135" i="4" s="1"/>
  <c r="S136" i="4"/>
  <c r="V136" i="4" s="1"/>
  <c r="S58" i="4"/>
  <c r="V58" i="4" s="1"/>
  <c r="S120" i="4"/>
  <c r="V120" i="4" s="1"/>
  <c r="S47" i="4"/>
  <c r="V47" i="4" s="1"/>
  <c r="S151" i="4"/>
  <c r="V151" i="4" s="1"/>
  <c r="S40" i="4"/>
  <c r="V40" i="4" s="1"/>
  <c r="S32" i="4"/>
  <c r="V32" i="4" s="1"/>
  <c r="S55" i="4"/>
  <c r="V55" i="4" s="1"/>
  <c r="S89" i="4"/>
  <c r="V89" i="4" s="1"/>
  <c r="S153" i="4"/>
  <c r="V153" i="4" s="1"/>
  <c r="S121" i="4"/>
  <c r="V121" i="4" s="1"/>
  <c r="S104" i="4"/>
  <c r="V104" i="4" s="1"/>
  <c r="S129" i="4"/>
  <c r="V129" i="4" s="1"/>
  <c r="S22" i="4"/>
  <c r="V22" i="4" s="1"/>
  <c r="S90" i="4"/>
  <c r="V90" i="4" s="1"/>
  <c r="S105" i="4"/>
  <c r="V105" i="4" s="1"/>
  <c r="S122" i="4"/>
  <c r="V122" i="4" s="1"/>
  <c r="S149" i="4"/>
  <c r="V149" i="4" s="1"/>
  <c r="S147" i="4"/>
  <c r="V147" i="4" s="1"/>
  <c r="S78" i="4"/>
  <c r="V78" i="4" s="1"/>
  <c r="S98" i="4"/>
  <c r="V98" i="4" s="1"/>
  <c r="S125" i="4"/>
  <c r="V125" i="4" s="1"/>
  <c r="S72" i="4"/>
  <c r="V72" i="4" s="1"/>
  <c r="S16" i="4"/>
  <c r="V16" i="4" s="1"/>
  <c r="S29" i="4"/>
  <c r="V29" i="4" s="1"/>
  <c r="S66" i="4"/>
  <c r="V66" i="4" s="1"/>
  <c r="S126" i="4"/>
  <c r="V126" i="4" s="1"/>
  <c r="S82" i="4"/>
  <c r="V82" i="4" s="1"/>
  <c r="S64" i="4"/>
  <c r="V64" i="4" s="1"/>
  <c r="S115" i="4"/>
  <c r="V115" i="4" s="1"/>
  <c r="S45" i="4"/>
  <c r="V45" i="4" s="1"/>
  <c r="S130" i="4"/>
  <c r="V130" i="4" s="1"/>
  <c r="S99" i="4"/>
  <c r="V99" i="4" s="1"/>
  <c r="S23" i="4"/>
  <c r="V23" i="4" s="1"/>
  <c r="S116" i="4"/>
  <c r="V116" i="4" s="1"/>
  <c r="S139" i="4"/>
  <c r="V139" i="4" s="1"/>
  <c r="S146" i="4"/>
  <c r="V146" i="4" s="1"/>
  <c r="S134" i="4"/>
  <c r="V134" i="4" s="1"/>
  <c r="S81" i="4"/>
  <c r="V81" i="4" s="1"/>
  <c r="S43" i="4"/>
  <c r="V43" i="4" s="1"/>
  <c r="S79" i="4"/>
  <c r="V79" i="4" s="1"/>
  <c r="S112" i="4"/>
  <c r="V112" i="4" s="1"/>
  <c r="S137" i="4"/>
  <c r="V137" i="4" s="1"/>
  <c r="S100" i="4"/>
  <c r="V100" i="4" s="1"/>
  <c r="S65" i="4"/>
  <c r="V65" i="4" s="1"/>
  <c r="S11" i="4"/>
  <c r="V11" i="4" s="1"/>
  <c r="S107" i="4"/>
  <c r="V107" i="4" s="1"/>
  <c r="S119" i="4"/>
  <c r="V119" i="4" s="1"/>
  <c r="S85" i="4"/>
  <c r="V85" i="4" s="1"/>
  <c r="S131" i="4"/>
  <c r="V131" i="4" s="1"/>
  <c r="S74" i="4"/>
  <c r="V74" i="4" s="1"/>
  <c r="S63" i="4"/>
  <c r="V63" i="4" s="1"/>
  <c r="B169" i="2"/>
  <c r="W7" i="5"/>
  <c r="Q7" i="5"/>
  <c r="B163" i="2"/>
  <c r="B181" i="2" s="1"/>
  <c r="B80" i="2" l="1"/>
  <c r="B108" i="2"/>
  <c r="H36" i="1" s="1"/>
  <c r="B59" i="2"/>
  <c r="H25" i="1" s="1"/>
  <c r="W79" i="4"/>
  <c r="AM79" i="4"/>
  <c r="W64" i="4"/>
  <c r="Y64" i="4" s="1"/>
  <c r="AR64" i="4" s="1"/>
  <c r="AM64" i="4"/>
  <c r="AM122" i="4"/>
  <c r="W122" i="4"/>
  <c r="AM151" i="4"/>
  <c r="W151" i="4"/>
  <c r="W109" i="4"/>
  <c r="AM109" i="4"/>
  <c r="W53" i="4"/>
  <c r="Y53" i="4" s="1"/>
  <c r="AR53" i="4" s="1"/>
  <c r="AM53" i="4"/>
  <c r="AM83" i="4"/>
  <c r="W83" i="4"/>
  <c r="Y83" i="4" s="1"/>
  <c r="AR83" i="4" s="1"/>
  <c r="W37" i="4"/>
  <c r="Y37" i="4" s="1"/>
  <c r="AR37" i="4" s="1"/>
  <c r="AM37" i="4"/>
  <c r="W50" i="4"/>
  <c r="Y50" i="4" s="1"/>
  <c r="AR50" i="4" s="1"/>
  <c r="AM50" i="4"/>
  <c r="AM28" i="4"/>
  <c r="W28" i="4"/>
  <c r="Y28" i="4" s="1"/>
  <c r="AR28" i="4" s="1"/>
  <c r="W108" i="4"/>
  <c r="AM108" i="4"/>
  <c r="W25" i="4"/>
  <c r="Y25" i="4" s="1"/>
  <c r="AR25" i="4" s="1"/>
  <c r="AM25" i="4"/>
  <c r="W63" i="4"/>
  <c r="AM63" i="4"/>
  <c r="AM119" i="4"/>
  <c r="W119" i="4"/>
  <c r="Y119" i="4" s="1"/>
  <c r="AR119" i="4" s="1"/>
  <c r="AM139" i="4"/>
  <c r="W139" i="4"/>
  <c r="Y139" i="4" s="1"/>
  <c r="AR139" i="4" s="1"/>
  <c r="W16" i="4"/>
  <c r="Y16" i="4" s="1"/>
  <c r="AR16" i="4" s="1"/>
  <c r="AM16" i="4"/>
  <c r="W104" i="4"/>
  <c r="Y104" i="4" s="1"/>
  <c r="AR104" i="4" s="1"/>
  <c r="AM104" i="4"/>
  <c r="AM135" i="4"/>
  <c r="W135" i="4"/>
  <c r="AM69" i="4"/>
  <c r="W69" i="4"/>
  <c r="W88" i="4"/>
  <c r="Y88" i="4" s="1"/>
  <c r="AR88" i="4" s="1"/>
  <c r="AM88" i="4"/>
  <c r="AM97" i="4"/>
  <c r="W97" i="4"/>
  <c r="AM128" i="4"/>
  <c r="W128" i="4"/>
  <c r="W24" i="4"/>
  <c r="Y24" i="4" s="1"/>
  <c r="AR24" i="4" s="1"/>
  <c r="AM24" i="4"/>
  <c r="AM148" i="4"/>
  <c r="W148" i="4"/>
  <c r="W138" i="4"/>
  <c r="Y138" i="4" s="1"/>
  <c r="AR138" i="4" s="1"/>
  <c r="AM138" i="4"/>
  <c r="W150" i="4"/>
  <c r="Y150" i="4" s="1"/>
  <c r="AR150" i="4" s="1"/>
  <c r="AM150" i="4"/>
  <c r="AM80" i="4"/>
  <c r="W80" i="4"/>
  <c r="Y80" i="4" s="1"/>
  <c r="AR80" i="4" s="1"/>
  <c r="AM74" i="4"/>
  <c r="W74" i="4"/>
  <c r="W107" i="4"/>
  <c r="Y107" i="4" s="1"/>
  <c r="AR107" i="4" s="1"/>
  <c r="AM107" i="4"/>
  <c r="W137" i="4"/>
  <c r="AM137" i="4"/>
  <c r="W81" i="4"/>
  <c r="AM81" i="4"/>
  <c r="AM116" i="4"/>
  <c r="W116" i="4"/>
  <c r="AM45" i="4"/>
  <c r="W45" i="4"/>
  <c r="Y45" i="4" s="1"/>
  <c r="AR45" i="4" s="1"/>
  <c r="W126" i="4"/>
  <c r="AM126" i="4"/>
  <c r="AM72" i="4"/>
  <c r="W72" i="4"/>
  <c r="Y72" i="4" s="1"/>
  <c r="AR72" i="4" s="1"/>
  <c r="AM147" i="4"/>
  <c r="W147" i="4"/>
  <c r="Y147" i="4" s="1"/>
  <c r="AR147" i="4" s="1"/>
  <c r="AM90" i="4"/>
  <c r="W90" i="4"/>
  <c r="W121" i="4"/>
  <c r="AM121" i="4"/>
  <c r="AM32" i="4"/>
  <c r="W32" i="4"/>
  <c r="Y32" i="4" s="1"/>
  <c r="AR32" i="4" s="1"/>
  <c r="W120" i="4"/>
  <c r="Y120" i="4" s="1"/>
  <c r="AR120" i="4" s="1"/>
  <c r="AM120" i="4"/>
  <c r="W8" i="4"/>
  <c r="Y8" i="4" s="1"/>
  <c r="AR8" i="4" s="1"/>
  <c r="AM8" i="4"/>
  <c r="AM86" i="4"/>
  <c r="W86" i="4"/>
  <c r="W94" i="4"/>
  <c r="AM94" i="4"/>
  <c r="W15" i="4"/>
  <c r="Y15" i="4" s="1"/>
  <c r="AR15" i="4" s="1"/>
  <c r="AM15" i="4"/>
  <c r="AM42" i="4"/>
  <c r="W42" i="4"/>
  <c r="Y42" i="4" s="1"/>
  <c r="AR42" i="4" s="1"/>
  <c r="W59" i="4"/>
  <c r="AM59" i="4"/>
  <c r="W132" i="4"/>
  <c r="Y132" i="4" s="1"/>
  <c r="AR132" i="4" s="1"/>
  <c r="AM132" i="4"/>
  <c r="W30" i="4"/>
  <c r="Y30" i="4" s="1"/>
  <c r="AR30" i="4" s="1"/>
  <c r="AM30" i="4"/>
  <c r="AM7" i="4"/>
  <c r="W7" i="4"/>
  <c r="Y7" i="4" s="1"/>
  <c r="AR7" i="4" s="1"/>
  <c r="AM93" i="4"/>
  <c r="W93" i="4"/>
  <c r="W17" i="4"/>
  <c r="Y17" i="4" s="1"/>
  <c r="AR17" i="4" s="1"/>
  <c r="AM17" i="4"/>
  <c r="W44" i="4"/>
  <c r="Y44" i="4" s="1"/>
  <c r="AR44" i="4" s="1"/>
  <c r="AM44" i="4"/>
  <c r="AM117" i="4"/>
  <c r="W117" i="4"/>
  <c r="AM101" i="4"/>
  <c r="W101" i="4"/>
  <c r="W145" i="4"/>
  <c r="AM145" i="4"/>
  <c r="AM52" i="4"/>
  <c r="W52" i="4"/>
  <c r="Y52" i="4" s="1"/>
  <c r="AR52" i="4" s="1"/>
  <c r="AM33" i="4"/>
  <c r="W33" i="4"/>
  <c r="Y33" i="4" s="1"/>
  <c r="AR33" i="4" s="1"/>
  <c r="AM14" i="4"/>
  <c r="W14" i="4"/>
  <c r="Y14" i="4" s="1"/>
  <c r="AR14" i="4" s="1"/>
  <c r="AM31" i="4"/>
  <c r="W31" i="4"/>
  <c r="Y31" i="4" s="1"/>
  <c r="AR31" i="4" s="1"/>
  <c r="W143" i="4"/>
  <c r="AM143" i="4"/>
  <c r="W141" i="4"/>
  <c r="AM141" i="4"/>
  <c r="AM36" i="4"/>
  <c r="W36" i="4"/>
  <c r="Y36" i="4" s="1"/>
  <c r="AR36" i="4" s="1"/>
  <c r="AM67" i="4"/>
  <c r="W67" i="4"/>
  <c r="W154" i="4"/>
  <c r="AM154" i="4"/>
  <c r="W61" i="4"/>
  <c r="AM61" i="4"/>
  <c r="AA10" i="5"/>
  <c r="AB10" i="5"/>
  <c r="BA10" i="5"/>
  <c r="BB10" i="5"/>
  <c r="H32" i="1"/>
  <c r="B97" i="2"/>
  <c r="AM85" i="4"/>
  <c r="W85" i="4"/>
  <c r="AM99" i="4"/>
  <c r="W99" i="4"/>
  <c r="Y99" i="4" s="1"/>
  <c r="AR99" i="4" s="1"/>
  <c r="W29" i="4"/>
  <c r="Y29" i="4" s="1"/>
  <c r="AR29" i="4" s="1"/>
  <c r="AM29" i="4"/>
  <c r="W89" i="4"/>
  <c r="AM89" i="4"/>
  <c r="AM91" i="4"/>
  <c r="W91" i="4"/>
  <c r="Y91" i="4" s="1"/>
  <c r="AR91" i="4" s="1"/>
  <c r="W113" i="4"/>
  <c r="AM113" i="4"/>
  <c r="AM76" i="4"/>
  <c r="W76" i="4"/>
  <c r="W41" i="4"/>
  <c r="Y41" i="4" s="1"/>
  <c r="AR41" i="4" s="1"/>
  <c r="AM41" i="4"/>
  <c r="AM96" i="4"/>
  <c r="W96" i="4"/>
  <c r="AM56" i="4"/>
  <c r="W56" i="4"/>
  <c r="AM102" i="4"/>
  <c r="W102" i="4"/>
  <c r="AM95" i="4"/>
  <c r="W95" i="4"/>
  <c r="W43" i="4"/>
  <c r="Y43" i="4" s="1"/>
  <c r="AR43" i="4" s="1"/>
  <c r="AM43" i="4"/>
  <c r="W82" i="4"/>
  <c r="AM82" i="4"/>
  <c r="AM105" i="4"/>
  <c r="W105" i="4"/>
  <c r="W47" i="4"/>
  <c r="Y47" i="4" s="1"/>
  <c r="AR47" i="4" s="1"/>
  <c r="AM47" i="4"/>
  <c r="W20" i="4"/>
  <c r="Y20" i="4" s="1"/>
  <c r="AR20" i="4" s="1"/>
  <c r="AM20" i="4"/>
  <c r="W114" i="4"/>
  <c r="AM114" i="4"/>
  <c r="AM118" i="4"/>
  <c r="W118" i="4"/>
  <c r="AM144" i="4"/>
  <c r="W144" i="4"/>
  <c r="W84" i="4"/>
  <c r="Y84" i="4" s="1"/>
  <c r="AR84" i="4" s="1"/>
  <c r="AM84" i="4"/>
  <c r="W70" i="4"/>
  <c r="Y70" i="4" s="1"/>
  <c r="AR70" i="4" s="1"/>
  <c r="AM70" i="4"/>
  <c r="AM54" i="4"/>
  <c r="W54" i="4"/>
  <c r="AM131" i="4"/>
  <c r="W131" i="4"/>
  <c r="W11" i="4"/>
  <c r="Y11" i="4" s="1"/>
  <c r="AR11" i="4" s="1"/>
  <c r="AM11" i="4"/>
  <c r="AM112" i="4"/>
  <c r="W112" i="4"/>
  <c r="W134" i="4"/>
  <c r="AM134" i="4"/>
  <c r="W23" i="4"/>
  <c r="Y23" i="4" s="1"/>
  <c r="AR23" i="4" s="1"/>
  <c r="AM23" i="4"/>
  <c r="AM115" i="4"/>
  <c r="W115" i="4"/>
  <c r="Y115" i="4" s="1"/>
  <c r="AR115" i="4" s="1"/>
  <c r="W66" i="4"/>
  <c r="AM66" i="4"/>
  <c r="AM125" i="4"/>
  <c r="W125" i="4"/>
  <c r="AM149" i="4"/>
  <c r="W149" i="4"/>
  <c r="W22" i="4"/>
  <c r="Y22" i="4" s="1"/>
  <c r="AR22" i="4" s="1"/>
  <c r="AM22" i="4"/>
  <c r="AM153" i="4"/>
  <c r="W153" i="4"/>
  <c r="Y153" i="4" s="1"/>
  <c r="AR153" i="4" s="1"/>
  <c r="W40" i="4"/>
  <c r="Y40" i="4" s="1"/>
  <c r="AR40" i="4" s="1"/>
  <c r="AM40" i="4"/>
  <c r="AM58" i="4"/>
  <c r="W58" i="4"/>
  <c r="AM77" i="4"/>
  <c r="W77" i="4"/>
  <c r="W60" i="4"/>
  <c r="AM60" i="4"/>
  <c r="W156" i="4"/>
  <c r="AM156" i="4"/>
  <c r="W123" i="4"/>
  <c r="AM123" i="4"/>
  <c r="AM18" i="4"/>
  <c r="W18" i="4"/>
  <c r="Y18" i="4" s="1"/>
  <c r="AR18" i="4" s="1"/>
  <c r="W110" i="4"/>
  <c r="AM110" i="4"/>
  <c r="AM127" i="4"/>
  <c r="W127" i="4"/>
  <c r="W26" i="4"/>
  <c r="Y26" i="4" s="1"/>
  <c r="AR26" i="4" s="1"/>
  <c r="AM26" i="4"/>
  <c r="AM75" i="4"/>
  <c r="W75" i="4"/>
  <c r="W124" i="4"/>
  <c r="AM124" i="4"/>
  <c r="AM38" i="4"/>
  <c r="W38" i="4"/>
  <c r="Y38" i="4" s="1"/>
  <c r="AR38" i="4" s="1"/>
  <c r="AM152" i="4"/>
  <c r="W152" i="4"/>
  <c r="AM133" i="4"/>
  <c r="W133" i="4"/>
  <c r="W73" i="4"/>
  <c r="AM73" i="4"/>
  <c r="AM92" i="4"/>
  <c r="W92" i="4"/>
  <c r="AM155" i="4"/>
  <c r="W155" i="4"/>
  <c r="W13" i="4"/>
  <c r="Y13" i="4" s="1"/>
  <c r="AR13" i="4" s="1"/>
  <c r="AM13" i="4"/>
  <c r="W157" i="4"/>
  <c r="Y157" i="4" s="1"/>
  <c r="AR157" i="4" s="1"/>
  <c r="AM157" i="4"/>
  <c r="AM111" i="4"/>
  <c r="W111" i="4"/>
  <c r="W49" i="4"/>
  <c r="Y49" i="4" s="1"/>
  <c r="AR49" i="4" s="1"/>
  <c r="AM49" i="4"/>
  <c r="AM19" i="4"/>
  <c r="W19" i="4"/>
  <c r="Y19" i="4" s="1"/>
  <c r="AR19" i="4" s="1"/>
  <c r="W71" i="4"/>
  <c r="Y71" i="4" s="1"/>
  <c r="AR71" i="4" s="1"/>
  <c r="AM71" i="4"/>
  <c r="AM103" i="4"/>
  <c r="W103" i="4"/>
  <c r="Y103" i="4" s="1"/>
  <c r="AR103" i="4" s="1"/>
  <c r="W12" i="4"/>
  <c r="Y12" i="4" s="1"/>
  <c r="AR12" i="4" s="1"/>
  <c r="AM12" i="4"/>
  <c r="W21" i="4"/>
  <c r="Y21" i="4" s="1"/>
  <c r="AR21" i="4" s="1"/>
  <c r="AM21" i="4"/>
  <c r="AL10" i="5"/>
  <c r="AK10" i="5"/>
  <c r="AX10" i="5"/>
  <c r="AY10" i="5"/>
  <c r="U10" i="5"/>
  <c r="V10" i="5"/>
  <c r="AM65" i="4"/>
  <c r="W65" i="4"/>
  <c r="AM146" i="4"/>
  <c r="W146" i="4"/>
  <c r="Y146" i="4" s="1"/>
  <c r="AR146" i="4" s="1"/>
  <c r="W98" i="4"/>
  <c r="AM98" i="4"/>
  <c r="AM129" i="4"/>
  <c r="W129" i="4"/>
  <c r="AM136" i="4"/>
  <c r="W136" i="4"/>
  <c r="W87" i="4"/>
  <c r="Y87" i="4" s="1"/>
  <c r="AR87" i="4" s="1"/>
  <c r="AM87" i="4"/>
  <c r="W34" i="4"/>
  <c r="Y34" i="4" s="1"/>
  <c r="AR34" i="4" s="1"/>
  <c r="AM34" i="4"/>
  <c r="W48" i="4"/>
  <c r="Y48" i="4" s="1"/>
  <c r="AR48" i="4" s="1"/>
  <c r="AM48" i="4"/>
  <c r="W68" i="4"/>
  <c r="Y68" i="4" s="1"/>
  <c r="AR68" i="4" s="1"/>
  <c r="AM68" i="4"/>
  <c r="AM46" i="4"/>
  <c r="W46" i="4"/>
  <c r="Y46" i="4" s="1"/>
  <c r="AR46" i="4" s="1"/>
  <c r="AM62" i="4"/>
  <c r="W62" i="4"/>
  <c r="W39" i="4"/>
  <c r="Y39" i="4" s="1"/>
  <c r="AR39" i="4" s="1"/>
  <c r="AM39" i="4"/>
  <c r="W9" i="4"/>
  <c r="Y9" i="4" s="1"/>
  <c r="AR9" i="4" s="1"/>
  <c r="AM9" i="4"/>
  <c r="AM100" i="4"/>
  <c r="W100" i="4"/>
  <c r="Y100" i="4" s="1"/>
  <c r="AR100" i="4" s="1"/>
  <c r="AM130" i="4"/>
  <c r="W130" i="4"/>
  <c r="AM78" i="4"/>
  <c r="W78" i="4"/>
  <c r="W55" i="4"/>
  <c r="AM55" i="4"/>
  <c r="W27" i="4"/>
  <c r="Y27" i="4" s="1"/>
  <c r="AR27" i="4" s="1"/>
  <c r="AM27" i="4"/>
  <c r="AM140" i="4"/>
  <c r="W140" i="4"/>
  <c r="W106" i="4"/>
  <c r="AM106" i="4"/>
  <c r="W35" i="4"/>
  <c r="Y35" i="4" s="1"/>
  <c r="AR35" i="4" s="1"/>
  <c r="AM35" i="4"/>
  <c r="W10" i="4"/>
  <c r="Y10" i="4" s="1"/>
  <c r="AR10" i="4" s="1"/>
  <c r="AM10" i="4"/>
  <c r="W51" i="4"/>
  <c r="Y51" i="4" s="1"/>
  <c r="AR51" i="4" s="1"/>
  <c r="AM51" i="4"/>
  <c r="W57" i="4"/>
  <c r="AM57" i="4"/>
  <c r="AM142" i="4"/>
  <c r="W142" i="4"/>
  <c r="AV10" i="5"/>
  <c r="AU10" i="5"/>
  <c r="BC10" i="5"/>
  <c r="B64" i="2"/>
  <c r="B66" i="2"/>
  <c r="B67" i="2" s="1"/>
  <c r="AV107" i="4"/>
  <c r="U107" i="4"/>
  <c r="AV116" i="4"/>
  <c r="U116" i="4"/>
  <c r="AV45" i="4"/>
  <c r="U45" i="4"/>
  <c r="AV72" i="4"/>
  <c r="U72" i="4"/>
  <c r="AV90" i="4"/>
  <c r="U90" i="4"/>
  <c r="AV32" i="4"/>
  <c r="U32" i="4"/>
  <c r="AV86" i="4"/>
  <c r="U86" i="4"/>
  <c r="AV42" i="4"/>
  <c r="U42" i="4"/>
  <c r="AV132" i="4"/>
  <c r="U132" i="4"/>
  <c r="U7" i="4"/>
  <c r="AV7" i="4"/>
  <c r="AV17" i="4"/>
  <c r="U17" i="4"/>
  <c r="U101" i="4"/>
  <c r="AV101" i="4"/>
  <c r="AV52" i="4"/>
  <c r="U52" i="4"/>
  <c r="AV14" i="4"/>
  <c r="U14" i="4"/>
  <c r="AV143" i="4"/>
  <c r="U143" i="4"/>
  <c r="AV36" i="4"/>
  <c r="U36" i="4"/>
  <c r="AV154" i="4"/>
  <c r="U154" i="4"/>
  <c r="X185" i="5"/>
  <c r="Y185" i="5"/>
  <c r="X310" i="5"/>
  <c r="Y310" i="5"/>
  <c r="X264" i="5"/>
  <c r="Y264" i="5"/>
  <c r="Y202" i="5"/>
  <c r="X202" i="5"/>
  <c r="X489" i="5"/>
  <c r="Y489" i="5"/>
  <c r="Y250" i="5"/>
  <c r="X250" i="5"/>
  <c r="X232" i="5"/>
  <c r="Y232" i="5"/>
  <c r="X431" i="5"/>
  <c r="Y431" i="5"/>
  <c r="Y363" i="5"/>
  <c r="X363" i="5"/>
  <c r="Y51" i="5"/>
  <c r="X51" i="5"/>
  <c r="X107" i="5"/>
  <c r="Y107" i="5"/>
  <c r="X225" i="5"/>
  <c r="Y225" i="5"/>
  <c r="X91" i="5"/>
  <c r="Y91" i="5"/>
  <c r="X132" i="5"/>
  <c r="Y132" i="5"/>
  <c r="X12" i="5"/>
  <c r="Y12" i="5"/>
  <c r="X258" i="5"/>
  <c r="Y258" i="5"/>
  <c r="Y513" i="5"/>
  <c r="X513" i="5"/>
  <c r="Y316" i="5"/>
  <c r="X316" i="5"/>
  <c r="X512" i="5"/>
  <c r="Y512" i="5"/>
  <c r="X100" i="5"/>
  <c r="Y100" i="5"/>
  <c r="X347" i="5"/>
  <c r="Y347" i="5"/>
  <c r="Y533" i="5"/>
  <c r="X533" i="5"/>
  <c r="X111" i="5"/>
  <c r="Y111" i="5"/>
  <c r="X303" i="5"/>
  <c r="Y303" i="5"/>
  <c r="X197" i="5"/>
  <c r="Y197" i="5"/>
  <c r="Y176" i="5"/>
  <c r="X176" i="5"/>
  <c r="Y367" i="5"/>
  <c r="X367" i="5"/>
  <c r="X141" i="5"/>
  <c r="Y141" i="5"/>
  <c r="X211" i="5"/>
  <c r="Y211" i="5"/>
  <c r="Y35" i="5"/>
  <c r="X35" i="5"/>
  <c r="X502" i="5"/>
  <c r="Y502" i="5"/>
  <c r="X95" i="5"/>
  <c r="Y95" i="5"/>
  <c r="Y407" i="5"/>
  <c r="X407" i="5"/>
  <c r="X172" i="5"/>
  <c r="Y172" i="5"/>
  <c r="X203" i="5"/>
  <c r="Y203" i="5"/>
  <c r="Y323" i="5"/>
  <c r="X323" i="5"/>
  <c r="Y28" i="5"/>
  <c r="X28" i="5"/>
  <c r="Y515" i="5"/>
  <c r="X515" i="5"/>
  <c r="Y255" i="5"/>
  <c r="X255" i="5"/>
  <c r="Y522" i="5"/>
  <c r="X522" i="5"/>
  <c r="X237" i="5"/>
  <c r="Y237" i="5"/>
  <c r="Y98" i="5"/>
  <c r="X98" i="5"/>
  <c r="Y233" i="5"/>
  <c r="X233" i="5"/>
  <c r="Y165" i="5"/>
  <c r="X165" i="5"/>
  <c r="X267" i="5"/>
  <c r="Y267" i="5"/>
  <c r="X173" i="5"/>
  <c r="Y173" i="5"/>
  <c r="X368" i="5"/>
  <c r="Y368" i="5"/>
  <c r="X215" i="5"/>
  <c r="Y215" i="5"/>
  <c r="X19" i="5"/>
  <c r="Y19" i="5"/>
  <c r="Y101" i="5"/>
  <c r="X101" i="5"/>
  <c r="Y480" i="5"/>
  <c r="X480" i="5"/>
  <c r="Y180" i="5"/>
  <c r="X180" i="5"/>
  <c r="Y418" i="5"/>
  <c r="X418" i="5"/>
  <c r="Y10" i="5"/>
  <c r="X10" i="5"/>
  <c r="X179" i="5"/>
  <c r="Y179" i="5"/>
  <c r="Y187" i="5"/>
  <c r="X187" i="5"/>
  <c r="Y343" i="5"/>
  <c r="X343" i="5"/>
  <c r="X388" i="5"/>
  <c r="Y388" i="5"/>
  <c r="X151" i="5"/>
  <c r="Y151" i="5"/>
  <c r="X23" i="5"/>
  <c r="Y23" i="5"/>
  <c r="X501" i="5"/>
  <c r="Y501" i="5"/>
  <c r="Y376" i="5"/>
  <c r="X376" i="5"/>
  <c r="X400" i="5"/>
  <c r="Y400" i="5"/>
  <c r="Y7" i="5"/>
  <c r="X7" i="5"/>
  <c r="AV131" i="4"/>
  <c r="U131" i="4"/>
  <c r="AV11" i="4"/>
  <c r="U11" i="4"/>
  <c r="AV112" i="4"/>
  <c r="U112" i="4"/>
  <c r="AV134" i="4"/>
  <c r="U134" i="4"/>
  <c r="AV23" i="4"/>
  <c r="U23" i="4"/>
  <c r="AV115" i="4"/>
  <c r="U115" i="4"/>
  <c r="AV66" i="4"/>
  <c r="U66" i="4"/>
  <c r="AV125" i="4"/>
  <c r="U125" i="4"/>
  <c r="AV149" i="4"/>
  <c r="U149" i="4"/>
  <c r="AV22" i="4"/>
  <c r="U22" i="4"/>
  <c r="AV153" i="4"/>
  <c r="U153" i="4"/>
  <c r="AV40" i="4"/>
  <c r="U40" i="4"/>
  <c r="AV58" i="4"/>
  <c r="U58" i="4"/>
  <c r="AV77" i="4"/>
  <c r="U77" i="4"/>
  <c r="AV60" i="4"/>
  <c r="U60" i="4"/>
  <c r="AV156" i="4"/>
  <c r="U156" i="4"/>
  <c r="AV123" i="4"/>
  <c r="U123" i="4"/>
  <c r="AV18" i="4"/>
  <c r="U18" i="4"/>
  <c r="AV110" i="4"/>
  <c r="U110" i="4"/>
  <c r="AV127" i="4"/>
  <c r="U127" i="4"/>
  <c r="AV26" i="4"/>
  <c r="U26" i="4"/>
  <c r="U75" i="4"/>
  <c r="AV75" i="4"/>
  <c r="AV124" i="4"/>
  <c r="U124" i="4"/>
  <c r="AV38" i="4"/>
  <c r="U38" i="4"/>
  <c r="AV152" i="4"/>
  <c r="U152" i="4"/>
  <c r="AV133" i="4"/>
  <c r="U133" i="4"/>
  <c r="AV73" i="4"/>
  <c r="U73" i="4"/>
  <c r="AV92" i="4"/>
  <c r="U92" i="4"/>
  <c r="AV155" i="4"/>
  <c r="U155" i="4"/>
  <c r="AV13" i="4"/>
  <c r="U13" i="4"/>
  <c r="AV157" i="4"/>
  <c r="U157" i="4"/>
  <c r="AV111" i="4"/>
  <c r="U111" i="4"/>
  <c r="AV49" i="4"/>
  <c r="U49" i="4"/>
  <c r="AV19" i="4"/>
  <c r="U19" i="4"/>
  <c r="AV71" i="4"/>
  <c r="U71" i="4"/>
  <c r="U103" i="4"/>
  <c r="AV103" i="4"/>
  <c r="AV12" i="4"/>
  <c r="U12" i="4"/>
  <c r="AV21" i="4"/>
  <c r="U21" i="4"/>
  <c r="AG393" i="5"/>
  <c r="AG181" i="5"/>
  <c r="AG352" i="5"/>
  <c r="AG96" i="5"/>
  <c r="AG367" i="5"/>
  <c r="AG324" i="5"/>
  <c r="AG72" i="5"/>
  <c r="AG220" i="5"/>
  <c r="AG158" i="5"/>
  <c r="AG463" i="5"/>
  <c r="AG184" i="5"/>
  <c r="AG247" i="5"/>
  <c r="AG164" i="5"/>
  <c r="B74" i="5"/>
  <c r="AG88" i="5"/>
  <c r="AG134" i="5"/>
  <c r="AG192" i="5"/>
  <c r="AG165" i="5"/>
  <c r="AG13" i="5"/>
  <c r="AG411" i="5"/>
  <c r="AG298" i="5"/>
  <c r="AG29" i="5"/>
  <c r="AG155" i="5"/>
  <c r="AG112" i="5"/>
  <c r="AG213" i="5"/>
  <c r="AG84" i="5"/>
  <c r="AG374" i="5"/>
  <c r="AG186" i="5"/>
  <c r="AG274" i="5"/>
  <c r="AG89" i="5"/>
  <c r="AG450" i="5"/>
  <c r="AG448" i="5"/>
  <c r="AG483" i="5"/>
  <c r="AG94" i="5"/>
  <c r="AG30" i="5"/>
  <c r="AG236" i="5"/>
  <c r="AG321" i="5"/>
  <c r="AG170" i="5"/>
  <c r="AG98" i="5"/>
  <c r="AG416" i="5"/>
  <c r="AG378" i="5"/>
  <c r="AG22" i="5"/>
  <c r="AG243" i="5"/>
  <c r="AG116" i="5"/>
  <c r="AG66" i="5"/>
  <c r="AG377" i="5"/>
  <c r="AG110" i="5"/>
  <c r="AG195" i="5"/>
  <c r="AG355" i="5"/>
  <c r="AG219" i="5"/>
  <c r="AG149" i="5"/>
  <c r="AG35" i="5"/>
  <c r="AG143" i="5"/>
  <c r="AG360" i="5"/>
  <c r="AG252" i="5"/>
  <c r="AG468" i="5"/>
  <c r="AG269" i="5"/>
  <c r="AG266" i="5"/>
  <c r="AG150" i="5"/>
  <c r="AG451" i="5"/>
  <c r="AG364" i="5"/>
  <c r="AG383" i="5"/>
  <c r="AG182" i="5"/>
  <c r="AG496" i="5"/>
  <c r="AG510" i="5"/>
  <c r="AG46" i="5"/>
  <c r="AG418" i="5"/>
  <c r="AG199" i="5"/>
  <c r="AG81" i="5"/>
  <c r="AG71" i="5"/>
  <c r="AG249" i="5"/>
  <c r="AG459" i="5"/>
  <c r="AG331" i="5"/>
  <c r="AG441" i="5"/>
  <c r="AG508" i="5"/>
  <c r="AG458" i="5"/>
  <c r="AG506" i="5"/>
  <c r="AG144" i="5"/>
  <c r="AG351" i="5"/>
  <c r="AG261" i="5"/>
  <c r="AG407" i="5"/>
  <c r="AG348" i="5"/>
  <c r="AG500" i="5"/>
  <c r="AG415" i="5"/>
  <c r="AG344" i="5"/>
  <c r="AG555" i="5"/>
  <c r="AG193" i="5"/>
  <c r="AG54" i="5"/>
  <c r="AG521" i="5"/>
  <c r="AG73" i="5"/>
  <c r="AG311" i="5"/>
  <c r="AG163" i="5"/>
  <c r="AG504" i="5"/>
  <c r="AG542" i="5"/>
  <c r="AG475" i="5"/>
  <c r="AG502" i="5"/>
  <c r="AG467" i="5"/>
  <c r="AG205" i="5"/>
  <c r="AG400" i="5"/>
  <c r="AG420" i="5"/>
  <c r="AG290" i="5"/>
  <c r="AG47" i="5"/>
  <c r="AG145" i="5"/>
  <c r="AG267" i="5"/>
  <c r="AG361" i="5"/>
  <c r="AG142" i="5"/>
  <c r="AG183" i="5"/>
  <c r="AG226" i="5"/>
  <c r="AG187" i="5"/>
  <c r="AG75" i="5"/>
  <c r="AG68" i="5"/>
  <c r="AG52" i="5"/>
  <c r="AG224" i="5"/>
  <c r="AG547" i="5"/>
  <c r="AG190" i="5"/>
  <c r="AG173" i="5"/>
  <c r="AG437" i="5"/>
  <c r="AG436" i="5"/>
  <c r="AG172" i="5"/>
  <c r="AG40" i="5"/>
  <c r="AG336" i="5"/>
  <c r="AG390" i="5"/>
  <c r="AG202" i="5"/>
  <c r="AG534" i="5"/>
  <c r="AG365" i="5"/>
  <c r="AG325" i="5"/>
  <c r="AG117" i="5"/>
  <c r="AG526" i="5"/>
  <c r="AG453" i="5"/>
  <c r="AG97" i="5"/>
  <c r="AG101" i="5"/>
  <c r="AG515" i="5"/>
  <c r="AG303" i="5"/>
  <c r="AG211" i="5"/>
  <c r="AG301" i="5"/>
  <c r="AG215" i="5"/>
  <c r="AG412" i="5"/>
  <c r="AG295" i="5"/>
  <c r="AG346" i="5"/>
  <c r="AG402" i="5"/>
  <c r="AG42" i="5"/>
  <c r="AG503" i="5"/>
  <c r="AG449" i="5"/>
  <c r="AG85" i="5"/>
  <c r="AG131" i="5"/>
  <c r="AG111" i="5"/>
  <c r="AG532" i="5"/>
  <c r="AG341" i="5"/>
  <c r="AG241" i="5"/>
  <c r="AG345" i="5"/>
  <c r="AG263" i="5"/>
  <c r="AG444" i="5"/>
  <c r="AG105" i="5"/>
  <c r="AG552" i="5"/>
  <c r="AG357" i="5"/>
  <c r="AG371" i="5"/>
  <c r="AG498" i="5"/>
  <c r="AG93" i="5"/>
  <c r="AG197" i="5"/>
  <c r="AG27" i="5"/>
  <c r="AG80" i="5"/>
  <c r="AG115" i="5"/>
  <c r="AG489" i="5"/>
  <c r="AG442" i="5"/>
  <c r="AG476" i="5"/>
  <c r="AG531" i="5"/>
  <c r="AG545" i="5"/>
  <c r="AG512" i="5"/>
  <c r="AG445" i="5"/>
  <c r="AG353" i="5"/>
  <c r="AG179" i="5"/>
  <c r="AG39" i="5"/>
  <c r="AG235" i="5"/>
  <c r="AG491" i="5"/>
  <c r="AG537" i="5"/>
  <c r="AG517" i="5"/>
  <c r="AG394" i="5"/>
  <c r="AG25" i="5"/>
  <c r="AG139" i="5"/>
  <c r="AG315" i="5"/>
  <c r="AG556" i="5"/>
  <c r="AG369" i="5"/>
  <c r="AG559" i="5"/>
  <c r="AG388" i="5"/>
  <c r="AG434" i="5"/>
  <c r="AG514" i="5"/>
  <c r="AG44" i="5"/>
  <c r="AG160" i="5"/>
  <c r="AG466" i="5"/>
  <c r="AG395" i="5"/>
  <c r="AG191" i="5"/>
  <c r="AG140" i="5"/>
  <c r="AG478" i="5"/>
  <c r="AG76" i="5"/>
  <c r="AG95" i="5"/>
  <c r="AG350" i="5"/>
  <c r="AG106" i="5"/>
  <c r="AG340" i="5"/>
  <c r="AG232" i="5"/>
  <c r="AG404" i="5"/>
  <c r="AG318" i="5"/>
  <c r="AG276" i="5"/>
  <c r="AG544" i="5"/>
  <c r="AG379" i="5"/>
  <c r="AG399" i="5"/>
  <c r="AG154" i="5"/>
  <c r="AG471" i="5"/>
  <c r="AG138" i="5"/>
  <c r="AG372" i="5"/>
  <c r="AG530" i="5"/>
  <c r="AG157" i="5"/>
  <c r="AG20" i="5"/>
  <c r="AG306" i="5"/>
  <c r="AG322" i="5"/>
  <c r="AG148" i="5"/>
  <c r="AG310" i="5"/>
  <c r="AG465" i="5"/>
  <c r="AG258" i="5"/>
  <c r="AG501" i="5"/>
  <c r="AG147" i="5"/>
  <c r="AG285" i="5"/>
  <c r="AG505" i="5"/>
  <c r="AG49" i="5"/>
  <c r="AG535" i="5"/>
  <c r="AG177" i="5"/>
  <c r="AG329" i="5"/>
  <c r="AG487" i="5"/>
  <c r="AG440" i="5"/>
  <c r="AG278" i="5"/>
  <c r="AG171" i="5"/>
  <c r="AG474" i="5"/>
  <c r="AG438" i="5"/>
  <c r="AG273" i="5"/>
  <c r="AG349" i="5"/>
  <c r="AG516" i="5"/>
  <c r="AG507" i="5"/>
  <c r="AG433" i="5"/>
  <c r="AG107" i="5"/>
  <c r="AG86" i="5"/>
  <c r="AG53" i="5"/>
  <c r="AG221" i="5"/>
  <c r="AG79" i="5"/>
  <c r="AG533" i="5"/>
  <c r="AG370" i="5"/>
  <c r="AG100" i="5"/>
  <c r="AG12" i="5"/>
  <c r="AG338" i="5"/>
  <c r="AG228" i="5"/>
  <c r="AG282" i="5"/>
  <c r="AG188" i="5"/>
  <c r="AG122" i="5"/>
  <c r="AG426" i="5"/>
  <c r="AG166" i="5"/>
  <c r="AG334" i="5"/>
  <c r="AG246" i="5"/>
  <c r="AG203" i="5"/>
  <c r="AG244" i="5"/>
  <c r="AG366" i="5"/>
  <c r="AG135" i="5"/>
  <c r="AG114" i="5"/>
  <c r="AG391" i="5"/>
  <c r="AG271" i="5"/>
  <c r="AG169" i="5"/>
  <c r="AG196" i="5"/>
  <c r="AG41" i="5"/>
  <c r="AG527" i="5"/>
  <c r="AG528" i="5"/>
  <c r="AG132" i="5"/>
  <c r="AG330" i="5"/>
  <c r="AG55" i="5"/>
  <c r="AG245" i="5"/>
  <c r="AG206" i="5"/>
  <c r="AG408" i="5"/>
  <c r="AG262" i="5"/>
  <c r="AG461" i="5"/>
  <c r="AG470" i="5"/>
  <c r="AG541" i="5"/>
  <c r="AG396" i="5"/>
  <c r="AG477" i="5"/>
  <c r="AG554" i="5"/>
  <c r="AG121" i="5"/>
  <c r="AG33" i="5"/>
  <c r="AG485" i="5"/>
  <c r="AG64" i="5"/>
  <c r="AG230" i="5"/>
  <c r="AG120" i="5"/>
  <c r="AG137" i="5"/>
  <c r="AG289" i="5"/>
  <c r="AG560" i="5"/>
  <c r="AG540" i="5"/>
  <c r="AG223" i="5"/>
  <c r="AG287" i="5"/>
  <c r="AG189" i="5"/>
  <c r="AG61" i="5"/>
  <c r="AG387" i="5"/>
  <c r="AG293" i="5"/>
  <c r="AG439" i="5"/>
  <c r="AG422" i="5"/>
  <c r="AG525" i="5"/>
  <c r="AG380" i="5"/>
  <c r="AG292" i="5"/>
  <c r="AG494" i="5"/>
  <c r="AG104" i="5"/>
  <c r="AG119" i="5"/>
  <c r="AG34" i="5"/>
  <c r="AG495" i="5"/>
  <c r="AG279" i="5"/>
  <c r="AG397" i="5"/>
  <c r="AG259" i="5"/>
  <c r="AG410" i="5"/>
  <c r="AG109" i="5"/>
  <c r="AG339" i="5"/>
  <c r="AG354" i="5"/>
  <c r="AG45" i="5"/>
  <c r="AG256" i="5"/>
  <c r="AG26" i="5"/>
  <c r="AG82" i="5"/>
  <c r="AG430" i="5"/>
  <c r="AG65" i="5"/>
  <c r="AG307" i="5"/>
  <c r="AG208" i="5"/>
  <c r="AG314" i="5"/>
  <c r="AG214" i="5"/>
  <c r="AG456" i="5"/>
  <c r="AG136" i="5"/>
  <c r="AG543" i="5"/>
  <c r="AG304" i="5"/>
  <c r="AG272" i="5"/>
  <c r="AG48" i="5"/>
  <c r="AG457" i="5"/>
  <c r="AG180" i="5"/>
  <c r="AG62" i="5"/>
  <c r="AG405" i="5"/>
  <c r="AG553" i="5"/>
  <c r="AG275" i="5"/>
  <c r="AG257" i="5"/>
  <c r="AG233" i="5"/>
  <c r="AG37" i="5"/>
  <c r="AG99" i="5"/>
  <c r="AG58" i="5"/>
  <c r="AG239" i="5"/>
  <c r="AG429" i="5"/>
  <c r="AG201" i="5"/>
  <c r="AG67" i="5"/>
  <c r="AG36" i="5"/>
  <c r="AG60" i="5"/>
  <c r="AG227" i="5"/>
  <c r="AG92" i="5"/>
  <c r="AG43" i="5"/>
  <c r="AG337" i="5"/>
  <c r="AG251" i="5"/>
  <c r="AG432" i="5"/>
  <c r="AG519" i="5"/>
  <c r="AG392" i="5"/>
  <c r="AG305" i="5"/>
  <c r="AG469" i="5"/>
  <c r="AG493" i="5"/>
  <c r="AG320" i="5"/>
  <c r="AG481" i="5"/>
  <c r="AG490" i="5"/>
  <c r="AG21" i="5"/>
  <c r="AG300" i="5"/>
  <c r="AG124" i="5"/>
  <c r="AG435" i="5"/>
  <c r="AG447" i="5"/>
  <c r="AG123" i="5"/>
  <c r="AG332" i="5"/>
  <c r="AG240" i="5"/>
  <c r="AG87" i="5"/>
  <c r="AG102" i="5"/>
  <c r="AG452" i="5"/>
  <c r="AG520" i="5"/>
  <c r="AG425" i="5"/>
  <c r="AG381" i="5"/>
  <c r="AG492" i="5"/>
  <c r="AG359" i="5"/>
  <c r="AG462" i="5"/>
  <c r="AG294" i="5"/>
  <c r="AG277" i="5"/>
  <c r="AG557" i="5"/>
  <c r="AG317" i="5"/>
  <c r="AG523" i="5"/>
  <c r="AG130" i="5"/>
  <c r="AG128" i="5"/>
  <c r="AG253" i="5"/>
  <c r="AG57" i="5"/>
  <c r="AG362" i="5"/>
  <c r="AG486" i="5"/>
  <c r="AG10" i="5"/>
  <c r="AG242" i="5"/>
  <c r="AG428" i="5"/>
  <c r="AG141" i="5"/>
  <c r="AG59" i="5"/>
  <c r="AG327" i="5"/>
  <c r="AG185" i="5"/>
  <c r="AG209" i="5"/>
  <c r="AG319" i="5"/>
  <c r="AG255" i="5"/>
  <c r="AG129" i="5"/>
  <c r="AG175" i="5"/>
  <c r="AG63" i="5"/>
  <c r="AG347" i="5"/>
  <c r="AG238" i="5"/>
  <c r="AG419" i="5"/>
  <c r="AG382" i="5"/>
  <c r="AG316" i="5"/>
  <c r="AG363" i="5"/>
  <c r="AG151" i="5"/>
  <c r="AG499" i="5"/>
  <c r="AG356" i="5"/>
  <c r="AG159" i="5"/>
  <c r="AG312" i="5"/>
  <c r="AG146" i="5"/>
  <c r="AG413" i="5"/>
  <c r="AG133" i="5"/>
  <c r="AG313" i="5"/>
  <c r="AG174" i="5"/>
  <c r="AG7" i="5"/>
  <c r="AG403" i="5"/>
  <c r="AG443" i="5"/>
  <c r="AG50" i="5"/>
  <c r="AG125" i="5"/>
  <c r="AG302" i="5"/>
  <c r="AG473" i="5"/>
  <c r="AG283" i="5"/>
  <c r="AG161" i="5"/>
  <c r="AG24" i="5"/>
  <c r="AG231" i="5"/>
  <c r="AG69" i="5"/>
  <c r="AG91" i="5"/>
  <c r="AG70" i="5"/>
  <c r="AG156" i="5"/>
  <c r="AG389" i="5"/>
  <c r="AG250" i="5"/>
  <c r="AG168" i="5"/>
  <c r="AG333" i="5"/>
  <c r="AG291" i="5"/>
  <c r="AG77" i="5"/>
  <c r="AG207" i="5"/>
  <c r="AG222" i="5"/>
  <c r="AG78" i="5"/>
  <c r="AG56" i="5"/>
  <c r="AG19" i="5"/>
  <c r="AG167" i="5"/>
  <c r="AG178" i="5"/>
  <c r="AG225" i="5"/>
  <c r="AG472" i="5"/>
  <c r="AG200" i="5"/>
  <c r="AG518" i="5"/>
  <c r="AG342" i="5"/>
  <c r="AG260" i="5"/>
  <c r="AG539" i="5"/>
  <c r="AG152" i="5"/>
  <c r="AG28" i="5"/>
  <c r="AG511" i="5"/>
  <c r="AG153" i="5"/>
  <c r="AG268" i="5"/>
  <c r="AG308" i="5"/>
  <c r="AG509" i="5"/>
  <c r="AG118" i="5"/>
  <c r="AG103" i="5"/>
  <c r="AG558" i="5"/>
  <c r="AG270" i="5"/>
  <c r="AG323" i="5"/>
  <c r="AG212" i="5"/>
  <c r="AG113" i="5"/>
  <c r="AG284" i="5"/>
  <c r="AG488" i="5"/>
  <c r="AG358" i="5"/>
  <c r="AG204" i="5"/>
  <c r="AG538" i="5"/>
  <c r="AG234" i="5"/>
  <c r="AG548" i="5"/>
  <c r="AG409" i="5"/>
  <c r="AG237" i="5"/>
  <c r="AG522" i="5"/>
  <c r="AG296" i="5"/>
  <c r="AG427" i="5"/>
  <c r="AG176" i="5"/>
  <c r="AG127" i="5"/>
  <c r="AG265" i="5"/>
  <c r="AG368" i="5"/>
  <c r="AG281" i="5"/>
  <c r="AG38" i="5"/>
  <c r="AG23" i="5"/>
  <c r="AG248" i="5"/>
  <c r="AG108" i="5"/>
  <c r="AG217" i="5"/>
  <c r="AG385" i="5"/>
  <c r="AG254" i="5"/>
  <c r="AG373" i="5"/>
  <c r="AG297" i="5"/>
  <c r="AG549" i="5"/>
  <c r="AG328" i="5"/>
  <c r="AG32" i="5"/>
  <c r="AG210" i="5"/>
  <c r="AG74" i="5"/>
  <c r="AG384" i="5"/>
  <c r="AG126" i="5"/>
  <c r="AG83" i="5"/>
  <c r="AG31" i="5"/>
  <c r="AG280" i="5"/>
  <c r="AG431" i="5"/>
  <c r="AG479" i="5"/>
  <c r="AG198" i="5"/>
  <c r="AG536" i="5"/>
  <c r="AG90" i="5"/>
  <c r="AG454" i="5"/>
  <c r="AG406" i="5"/>
  <c r="AG229" i="5"/>
  <c r="AG309" i="5"/>
  <c r="AG551" i="5"/>
  <c r="AG464" i="5"/>
  <c r="AG401" i="5"/>
  <c r="AG529" i="5"/>
  <c r="AG376" i="5"/>
  <c r="AG550" i="5"/>
  <c r="AG484" i="5"/>
  <c r="AG455" i="5"/>
  <c r="AG326" i="5"/>
  <c r="AG414" i="5"/>
  <c r="AG375" i="5"/>
  <c r="AG497" i="5"/>
  <c r="AG288" i="5"/>
  <c r="AG421" i="5"/>
  <c r="AG460" i="5"/>
  <c r="AG8" i="5"/>
  <c r="AG480" i="5"/>
  <c r="AG417" i="5"/>
  <c r="AG546" i="5"/>
  <c r="AG162" i="5"/>
  <c r="AG423" i="5"/>
  <c r="AG286" i="5"/>
  <c r="AG194" i="5"/>
  <c r="AG386" i="5"/>
  <c r="AG398" i="5"/>
  <c r="AG51" i="5"/>
  <c r="AG524" i="5"/>
  <c r="AG446" i="5"/>
  <c r="AG299" i="5"/>
  <c r="AG424" i="5"/>
  <c r="AG513" i="5"/>
  <c r="AG482" i="5"/>
  <c r="AG343" i="5"/>
  <c r="AG216" i="5"/>
  <c r="AG264" i="5"/>
  <c r="AG335" i="5"/>
  <c r="AG218" i="5"/>
  <c r="AM430" i="5"/>
  <c r="AM417" i="5"/>
  <c r="AM516" i="5"/>
  <c r="AM232" i="5"/>
  <c r="AM467" i="5"/>
  <c r="AM175" i="5"/>
  <c r="AM245" i="5"/>
  <c r="AM280" i="5"/>
  <c r="AM373" i="5"/>
  <c r="AM257" i="5"/>
  <c r="AM261" i="5"/>
  <c r="AM235" i="5"/>
  <c r="AM139" i="5"/>
  <c r="AM157" i="5"/>
  <c r="AM114" i="5"/>
  <c r="AM40" i="5"/>
  <c r="AM429" i="5"/>
  <c r="AM424" i="5"/>
  <c r="AM80" i="5"/>
  <c r="AM212" i="5"/>
  <c r="AM322" i="5"/>
  <c r="AM489" i="5"/>
  <c r="AM60" i="5"/>
  <c r="AM221" i="5"/>
  <c r="AM546" i="5"/>
  <c r="AM21" i="5"/>
  <c r="AM92" i="5"/>
  <c r="AM298" i="5"/>
  <c r="AM288" i="5"/>
  <c r="AM514" i="5"/>
  <c r="AM486" i="5"/>
  <c r="AM321" i="5"/>
  <c r="AM376" i="5"/>
  <c r="AM525" i="5"/>
  <c r="AM441" i="5"/>
  <c r="AM307" i="5"/>
  <c r="AM226" i="5"/>
  <c r="AM87" i="5"/>
  <c r="AM188" i="5"/>
  <c r="AM364" i="5"/>
  <c r="AM418" i="5"/>
  <c r="AM272" i="5"/>
  <c r="AM330" i="5"/>
  <c r="AM51" i="5"/>
  <c r="AM182" i="5"/>
  <c r="AM345" i="5"/>
  <c r="AM395" i="5"/>
  <c r="AM278" i="5"/>
  <c r="AM380" i="5"/>
  <c r="AM391" i="5"/>
  <c r="AM121" i="5"/>
  <c r="AM405" i="5"/>
  <c r="AM374" i="5"/>
  <c r="AM390" i="5"/>
  <c r="AM89" i="5"/>
  <c r="AM350" i="5"/>
  <c r="AM124" i="5"/>
  <c r="AM409" i="5"/>
  <c r="AM253" i="5"/>
  <c r="AM487" i="5"/>
  <c r="AM224" i="5"/>
  <c r="AM246" i="5"/>
  <c r="AM534" i="5"/>
  <c r="AM269" i="5"/>
  <c r="AM539" i="5"/>
  <c r="AM351" i="5"/>
  <c r="AM289" i="5"/>
  <c r="AM142" i="5"/>
  <c r="AM48" i="5"/>
  <c r="AM63" i="5"/>
  <c r="AM130" i="5"/>
  <c r="AM204" i="5"/>
  <c r="AM171" i="5"/>
  <c r="AM478" i="5"/>
  <c r="AM8" i="5"/>
  <c r="AM147" i="5"/>
  <c r="AM31" i="5"/>
  <c r="AM211" i="5"/>
  <c r="AM484" i="5"/>
  <c r="AM96" i="5"/>
  <c r="AM133" i="5"/>
  <c r="AM132" i="5"/>
  <c r="AM346" i="5"/>
  <c r="AM191" i="5"/>
  <c r="AM277" i="5"/>
  <c r="AM483" i="5"/>
  <c r="AM7" i="5"/>
  <c r="AM315" i="5"/>
  <c r="AM445" i="5"/>
  <c r="AM531" i="5"/>
  <c r="AM493" i="5"/>
  <c r="AM381" i="5"/>
  <c r="AM201" i="5"/>
  <c r="AM521" i="5"/>
  <c r="AM123" i="5"/>
  <c r="AM296" i="5"/>
  <c r="AM282" i="5"/>
  <c r="AM118" i="5"/>
  <c r="AM91" i="5"/>
  <c r="AM126" i="5"/>
  <c r="AM71" i="5"/>
  <c r="AM406" i="5"/>
  <c r="AM75" i="5"/>
  <c r="AM70" i="5"/>
  <c r="AM507" i="5"/>
  <c r="AM385" i="5"/>
  <c r="AM223" i="5"/>
  <c r="AM501" i="5"/>
  <c r="AM242" i="5"/>
  <c r="AM490" i="5"/>
  <c r="AM423" i="5"/>
  <c r="AM205" i="5"/>
  <c r="AM443" i="5"/>
  <c r="AM378" i="5"/>
  <c r="AM522" i="5"/>
  <c r="AM466" i="5"/>
  <c r="AM74" i="5"/>
  <c r="AM79" i="5"/>
  <c r="AM339" i="5"/>
  <c r="AM549" i="5"/>
  <c r="AM518" i="5"/>
  <c r="AM314" i="5"/>
  <c r="AM379" i="5"/>
  <c r="AM168" i="5"/>
  <c r="AM414" i="5"/>
  <c r="AM550" i="5"/>
  <c r="AM58" i="5"/>
  <c r="AM392" i="5"/>
  <c r="AM285" i="5"/>
  <c r="AM141" i="5"/>
  <c r="AM47" i="5"/>
  <c r="AM388" i="5"/>
  <c r="AM156" i="5"/>
  <c r="AM128" i="5"/>
  <c r="AM538" i="5"/>
  <c r="AM323" i="5"/>
  <c r="AM117" i="5"/>
  <c r="AM214" i="5"/>
  <c r="AM449" i="5"/>
  <c r="AM218" i="5"/>
  <c r="AM268" i="5"/>
  <c r="AM172" i="5"/>
  <c r="AM271" i="5"/>
  <c r="AM520" i="5"/>
  <c r="AM83" i="5"/>
  <c r="AM371" i="5"/>
  <c r="AM119" i="5"/>
  <c r="AM24" i="5"/>
  <c r="AM57" i="5"/>
  <c r="AM231" i="5"/>
  <c r="AM35" i="5"/>
  <c r="AM435" i="5"/>
  <c r="AM305" i="5"/>
  <c r="AM25" i="5"/>
  <c r="AM99" i="5"/>
  <c r="AM407" i="5"/>
  <c r="AM210" i="5"/>
  <c r="AM553" i="5"/>
  <c r="AM161" i="5"/>
  <c r="AM199" i="5"/>
  <c r="AM86" i="5"/>
  <c r="AM254" i="5"/>
  <c r="AM111" i="5"/>
  <c r="AM93" i="5"/>
  <c r="AM341" i="5"/>
  <c r="AM207" i="5"/>
  <c r="AM23" i="5"/>
  <c r="B78" i="5"/>
  <c r="AM76" i="5"/>
  <c r="AM250" i="5"/>
  <c r="AM508" i="5"/>
  <c r="AM331" i="5"/>
  <c r="AM167" i="5"/>
  <c r="AM270" i="5"/>
  <c r="AM238" i="5"/>
  <c r="AM103" i="5"/>
  <c r="AM436" i="5"/>
  <c r="AM361" i="5"/>
  <c r="AM20" i="5"/>
  <c r="AM422" i="5"/>
  <c r="AM122" i="5"/>
  <c r="AM476" i="5"/>
  <c r="AM488" i="5"/>
  <c r="AM180" i="5"/>
  <c r="AM197" i="5"/>
  <c r="AM428" i="5"/>
  <c r="AM471" i="5"/>
  <c r="AM185" i="5"/>
  <c r="AM256" i="5"/>
  <c r="AM480" i="5"/>
  <c r="AM29" i="5"/>
  <c r="AM360" i="5"/>
  <c r="AM511" i="5"/>
  <c r="AM458" i="5"/>
  <c r="AM174" i="5"/>
  <c r="AM527" i="5"/>
  <c r="AM465" i="5"/>
  <c r="AM227" i="5"/>
  <c r="AM540" i="5"/>
  <c r="AM498" i="5"/>
  <c r="AM208" i="5"/>
  <c r="AM347" i="5"/>
  <c r="AM349" i="5"/>
  <c r="AM532" i="5"/>
  <c r="AM506" i="5"/>
  <c r="AM59" i="5"/>
  <c r="AM303" i="5"/>
  <c r="AM300" i="5"/>
  <c r="AM367" i="5"/>
  <c r="AM150" i="5"/>
  <c r="AM528" i="5"/>
  <c r="AM470" i="5"/>
  <c r="AM44" i="5"/>
  <c r="AM49" i="5"/>
  <c r="AM100" i="5"/>
  <c r="AM492" i="5"/>
  <c r="AM472" i="5"/>
  <c r="AM401" i="5"/>
  <c r="AM131" i="5"/>
  <c r="AM468" i="5"/>
  <c r="AM234" i="5"/>
  <c r="AM173" i="5"/>
  <c r="AM359" i="5"/>
  <c r="AM384" i="5"/>
  <c r="AM399" i="5"/>
  <c r="AM137" i="5"/>
  <c r="AM523" i="5"/>
  <c r="AM460" i="5"/>
  <c r="AM496" i="5"/>
  <c r="AM477" i="5"/>
  <c r="AM317" i="5"/>
  <c r="AM203" i="5"/>
  <c r="AM403" i="5"/>
  <c r="AM310" i="5"/>
  <c r="AM43" i="5"/>
  <c r="AM505" i="5"/>
  <c r="AM113" i="5"/>
  <c r="AM294" i="5"/>
  <c r="AM52" i="5"/>
  <c r="AM247" i="5"/>
  <c r="AM45" i="5"/>
  <c r="AM495" i="5"/>
  <c r="AM415" i="5"/>
  <c r="AM475" i="5"/>
  <c r="AM461" i="5"/>
  <c r="AM500" i="5"/>
  <c r="AM67" i="5"/>
  <c r="AM338" i="5"/>
  <c r="AM229" i="5"/>
  <c r="AM138" i="5"/>
  <c r="AM165" i="5"/>
  <c r="AM554" i="5"/>
  <c r="AM559" i="5"/>
  <c r="AM442" i="5"/>
  <c r="AM279" i="5"/>
  <c r="AM352" i="5"/>
  <c r="AM115" i="5"/>
  <c r="AM453" i="5"/>
  <c r="AM97" i="5"/>
  <c r="AM158" i="5"/>
  <c r="AM356" i="5"/>
  <c r="AM220" i="5"/>
  <c r="AM19" i="5"/>
  <c r="AM510" i="5"/>
  <c r="AM389" i="5"/>
  <c r="AM293" i="5"/>
  <c r="AM102" i="5"/>
  <c r="AM90" i="5"/>
  <c r="AM163" i="5"/>
  <c r="AM127" i="5"/>
  <c r="AM94" i="5"/>
  <c r="AM335" i="5"/>
  <c r="AM27" i="5"/>
  <c r="AM291" i="5"/>
  <c r="AM357" i="5"/>
  <c r="AM343" i="5"/>
  <c r="AM382" i="5"/>
  <c r="AM526" i="5"/>
  <c r="AM464" i="5"/>
  <c r="AM320" i="5"/>
  <c r="AM292" i="5"/>
  <c r="AM273" i="5"/>
  <c r="AM519" i="5"/>
  <c r="AM283" i="5"/>
  <c r="AM309" i="5"/>
  <c r="AM408" i="5"/>
  <c r="AM217" i="5"/>
  <c r="AM455" i="5"/>
  <c r="AM469" i="5"/>
  <c r="AM463" i="5"/>
  <c r="AM396" i="5"/>
  <c r="AM66" i="5"/>
  <c r="AM230" i="5"/>
  <c r="AM61" i="5"/>
  <c r="AM513" i="5"/>
  <c r="AM340" i="5"/>
  <c r="AM120" i="5"/>
  <c r="AM497" i="5"/>
  <c r="AM88" i="5"/>
  <c r="AM179" i="5"/>
  <c r="AM42" i="5"/>
  <c r="AM365" i="5"/>
  <c r="AM53" i="5"/>
  <c r="AM136" i="5"/>
  <c r="AM82" i="5"/>
  <c r="AM333" i="5"/>
  <c r="AM543" i="5"/>
  <c r="AM146" i="5"/>
  <c r="AM426" i="5"/>
  <c r="AM129" i="5"/>
  <c r="AM332" i="5"/>
  <c r="AM56" i="5"/>
  <c r="AM354" i="5"/>
  <c r="AM149" i="5"/>
  <c r="AM112" i="5"/>
  <c r="AM125" i="5"/>
  <c r="AM366" i="5"/>
  <c r="AM482" i="5"/>
  <c r="AM255" i="5"/>
  <c r="AM116" i="5"/>
  <c r="AM337" i="5"/>
  <c r="AM393" i="5"/>
  <c r="AM55" i="5"/>
  <c r="AM155" i="5"/>
  <c r="AM459" i="5"/>
  <c r="AM135" i="5"/>
  <c r="AM258" i="5"/>
  <c r="AM32" i="5"/>
  <c r="AM194" i="5"/>
  <c r="AM95" i="5"/>
  <c r="AM263" i="5"/>
  <c r="AM324" i="5"/>
  <c r="AM348" i="5"/>
  <c r="AM259" i="5"/>
  <c r="AM239" i="5"/>
  <c r="AM228" i="5"/>
  <c r="AM287" i="5"/>
  <c r="AM213" i="5"/>
  <c r="AM481" i="5"/>
  <c r="AM299" i="5"/>
  <c r="AM243" i="5"/>
  <c r="AM509" i="5"/>
  <c r="AM10" i="5"/>
  <c r="AM369" i="5"/>
  <c r="AM39" i="5"/>
  <c r="AM537" i="5"/>
  <c r="AM499" i="5"/>
  <c r="AM110" i="5"/>
  <c r="AM81" i="5"/>
  <c r="AM248" i="5"/>
  <c r="AM370" i="5"/>
  <c r="AM437" i="5"/>
  <c r="AM548" i="5"/>
  <c r="AM73" i="5"/>
  <c r="AM206" i="5"/>
  <c r="AM342" i="5"/>
  <c r="AM236" i="5"/>
  <c r="AM485" i="5"/>
  <c r="AM542" i="5"/>
  <c r="AM434" i="5"/>
  <c r="AM517" i="5"/>
  <c r="AM184" i="5"/>
  <c r="AM431" i="5"/>
  <c r="AM456" i="5"/>
  <c r="AM26" i="5"/>
  <c r="AM336" i="5"/>
  <c r="AM50" i="5"/>
  <c r="AM85" i="5"/>
  <c r="AM105" i="5"/>
  <c r="AM302" i="5"/>
  <c r="AM64" i="5"/>
  <c r="AM297" i="5"/>
  <c r="AM327" i="5"/>
  <c r="AM316" i="5"/>
  <c r="AM34" i="5"/>
  <c r="AM264" i="5"/>
  <c r="AM387" i="5"/>
  <c r="AM65" i="5"/>
  <c r="AM198" i="5"/>
  <c r="AM556" i="5"/>
  <c r="AM383" i="5"/>
  <c r="AM363" i="5"/>
  <c r="AM440" i="5"/>
  <c r="AM145" i="5"/>
  <c r="AM107" i="5"/>
  <c r="AM186" i="5"/>
  <c r="AM398" i="5"/>
  <c r="AM169" i="5"/>
  <c r="AM536" i="5"/>
  <c r="AM368" i="5"/>
  <c r="AM400" i="5"/>
  <c r="AM36" i="5"/>
  <c r="AM325" i="5"/>
  <c r="AM386" i="5"/>
  <c r="AM46" i="5"/>
  <c r="AM439" i="5"/>
  <c r="AM144" i="5"/>
  <c r="AM101" i="5"/>
  <c r="AM304" i="5"/>
  <c r="AM362" i="5"/>
  <c r="AM108" i="5"/>
  <c r="AM12" i="5"/>
  <c r="AM457" i="5"/>
  <c r="AM530" i="5"/>
  <c r="AM170" i="5"/>
  <c r="AM419" i="5"/>
  <c r="AM319" i="5"/>
  <c r="AM249" i="5"/>
  <c r="AM196" i="5"/>
  <c r="AM267" i="5"/>
  <c r="AM233" i="5"/>
  <c r="AM552" i="5"/>
  <c r="AM244" i="5"/>
  <c r="AM176" i="5"/>
  <c r="AM502" i="5"/>
  <c r="AM290" i="5"/>
  <c r="AM413" i="5"/>
  <c r="AM462" i="5"/>
  <c r="AM410" i="5"/>
  <c r="AM318" i="5"/>
  <c r="AM515" i="5"/>
  <c r="AM219" i="5"/>
  <c r="AM262" i="5"/>
  <c r="AM334" i="5"/>
  <c r="AM358" i="5"/>
  <c r="AM533" i="5"/>
  <c r="AM555" i="5"/>
  <c r="AM402" i="5"/>
  <c r="AM438" i="5"/>
  <c r="AM284" i="5"/>
  <c r="AM181" i="5"/>
  <c r="AM547" i="5"/>
  <c r="AM535" i="5"/>
  <c r="AM529" i="5"/>
  <c r="AM22" i="5"/>
  <c r="AM311" i="5"/>
  <c r="AM189" i="5"/>
  <c r="AM372" i="5"/>
  <c r="AM433" i="5"/>
  <c r="AM98" i="5"/>
  <c r="AM225" i="5"/>
  <c r="AM444" i="5"/>
  <c r="AM134" i="5"/>
  <c r="AM301" i="5"/>
  <c r="AM153" i="5"/>
  <c r="AM260" i="5"/>
  <c r="AM544" i="5"/>
  <c r="AM326" i="5"/>
  <c r="AM432" i="5"/>
  <c r="AM524" i="5"/>
  <c r="AM512" i="5"/>
  <c r="AM281" i="5"/>
  <c r="AM454" i="5"/>
  <c r="AM154" i="5"/>
  <c r="AM491" i="5"/>
  <c r="AM69" i="5"/>
  <c r="AM178" i="5"/>
  <c r="AM159" i="5"/>
  <c r="AM344" i="5"/>
  <c r="AM195" i="5"/>
  <c r="AM353" i="5"/>
  <c r="AM54" i="5"/>
  <c r="AM545" i="5"/>
  <c r="AM313" i="5"/>
  <c r="AM160" i="5"/>
  <c r="AM416" i="5"/>
  <c r="AM109" i="5"/>
  <c r="AM425" i="5"/>
  <c r="AM275" i="5"/>
  <c r="AM13" i="5"/>
  <c r="AM421" i="5"/>
  <c r="AM276" i="5"/>
  <c r="AM193" i="5"/>
  <c r="AM504" i="5"/>
  <c r="AM306" i="5"/>
  <c r="AM479" i="5"/>
  <c r="AM450" i="5"/>
  <c r="AM541" i="5"/>
  <c r="AM328" i="5"/>
  <c r="AM448" i="5"/>
  <c r="AM295" i="5"/>
  <c r="AM394" i="5"/>
  <c r="AM177" i="5"/>
  <c r="AM312" i="5"/>
  <c r="AM28" i="5"/>
  <c r="AM209" i="5"/>
  <c r="AM215" i="5"/>
  <c r="AM152" i="5"/>
  <c r="AM38" i="5"/>
  <c r="AM192" i="5"/>
  <c r="AM202" i="5"/>
  <c r="AM164" i="5"/>
  <c r="AM474" i="5"/>
  <c r="AM183" i="5"/>
  <c r="AM503" i="5"/>
  <c r="AM72" i="5"/>
  <c r="AM241" i="5"/>
  <c r="AM446" i="5"/>
  <c r="AM473" i="5"/>
  <c r="AM143" i="5"/>
  <c r="AM329" i="5"/>
  <c r="AM240" i="5"/>
  <c r="AM286" i="5"/>
  <c r="AM265" i="5"/>
  <c r="AM140" i="5"/>
  <c r="AM557" i="5"/>
  <c r="AM447" i="5"/>
  <c r="AM452" i="5"/>
  <c r="AM494" i="5"/>
  <c r="AM106" i="5"/>
  <c r="AM427" i="5"/>
  <c r="AM41" i="5"/>
  <c r="AM375" i="5"/>
  <c r="AM84" i="5"/>
  <c r="AM420" i="5"/>
  <c r="AM62" i="5"/>
  <c r="AM412" i="5"/>
  <c r="AM148" i="5"/>
  <c r="AM216" i="5"/>
  <c r="AM30" i="5"/>
  <c r="AM222" i="5"/>
  <c r="AM33" i="5"/>
  <c r="AM187" i="5"/>
  <c r="AM200" i="5"/>
  <c r="AM308" i="5"/>
  <c r="AM266" i="5"/>
  <c r="AM404" i="5"/>
  <c r="AM162" i="5"/>
  <c r="AM377" i="5"/>
  <c r="AM77" i="5"/>
  <c r="AM166" i="5"/>
  <c r="AM355" i="5"/>
  <c r="AM190" i="5"/>
  <c r="AM252" i="5"/>
  <c r="AM558" i="5"/>
  <c r="AM104" i="5"/>
  <c r="AM274" i="5"/>
  <c r="AM68" i="5"/>
  <c r="AM37" i="5"/>
  <c r="AM251" i="5"/>
  <c r="AM451" i="5"/>
  <c r="AM151" i="5"/>
  <c r="AM237" i="5"/>
  <c r="AM551" i="5"/>
  <c r="AM560" i="5"/>
  <c r="AM411" i="5"/>
  <c r="AM397" i="5"/>
  <c r="AM78" i="5"/>
  <c r="Y344" i="5"/>
  <c r="X344" i="5"/>
  <c r="Y494" i="5"/>
  <c r="X494" i="5"/>
  <c r="Y463" i="5"/>
  <c r="X463" i="5"/>
  <c r="Y370" i="5"/>
  <c r="X370" i="5"/>
  <c r="Y13" i="5"/>
  <c r="X13" i="5"/>
  <c r="Y152" i="5"/>
  <c r="X152" i="5"/>
  <c r="X206" i="5"/>
  <c r="Y206" i="5"/>
  <c r="X137" i="5"/>
  <c r="Y137" i="5"/>
  <c r="Y218" i="5"/>
  <c r="X218" i="5"/>
  <c r="Y104" i="5"/>
  <c r="X104" i="5"/>
  <c r="X535" i="5"/>
  <c r="Y535" i="5"/>
  <c r="X230" i="5"/>
  <c r="Y230" i="5"/>
  <c r="Y292" i="5"/>
  <c r="X292" i="5"/>
  <c r="W9" i="5"/>
  <c r="T9" i="5"/>
  <c r="AG9" i="5"/>
  <c r="AZ9" i="5"/>
  <c r="Z9" i="5"/>
  <c r="AW9" i="5"/>
  <c r="AJ9" i="5"/>
  <c r="AT9" i="5"/>
  <c r="AM9" i="5"/>
  <c r="X43" i="5"/>
  <c r="Y43" i="5"/>
  <c r="X174" i="5"/>
  <c r="Y174" i="5"/>
  <c r="X430" i="5"/>
  <c r="Y430" i="5"/>
  <c r="X291" i="5"/>
  <c r="Y291" i="5"/>
  <c r="X260" i="5"/>
  <c r="Y260" i="5"/>
  <c r="Y529" i="5"/>
  <c r="X529" i="5"/>
  <c r="X163" i="5"/>
  <c r="Y163" i="5"/>
  <c r="Y57" i="5"/>
  <c r="X57" i="5"/>
  <c r="X113" i="5"/>
  <c r="Y113" i="5"/>
  <c r="X324" i="5"/>
  <c r="Y324" i="5"/>
  <c r="Y99" i="5"/>
  <c r="X99" i="5"/>
  <c r="Y277" i="5"/>
  <c r="X277" i="5"/>
  <c r="X201" i="5"/>
  <c r="Y201" i="5"/>
  <c r="X128" i="5"/>
  <c r="Y128" i="5"/>
  <c r="X41" i="5"/>
  <c r="Y41" i="5"/>
  <c r="Y479" i="5"/>
  <c r="X479" i="5"/>
  <c r="Y227" i="5"/>
  <c r="X227" i="5"/>
  <c r="X147" i="5"/>
  <c r="Y147" i="5"/>
  <c r="Y234" i="5"/>
  <c r="X234" i="5"/>
  <c r="Y560" i="5"/>
  <c r="X560" i="5"/>
  <c r="X54" i="5"/>
  <c r="Y54" i="5"/>
  <c r="Y559" i="5"/>
  <c r="X559" i="5"/>
  <c r="X285" i="5"/>
  <c r="Y285" i="5"/>
  <c r="X357" i="5"/>
  <c r="Y357" i="5"/>
  <c r="Y396" i="5"/>
  <c r="X396" i="5"/>
  <c r="X126" i="5"/>
  <c r="Y126" i="5"/>
  <c r="Y524" i="5"/>
  <c r="X524" i="5"/>
  <c r="X192" i="5"/>
  <c r="Y192" i="5"/>
  <c r="X8" i="5"/>
  <c r="Y8" i="5"/>
  <c r="Y254" i="5"/>
  <c r="X254" i="5"/>
  <c r="X373" i="5"/>
  <c r="Y373" i="5"/>
  <c r="Y276" i="5"/>
  <c r="X276" i="5"/>
  <c r="Y521" i="5"/>
  <c r="X521" i="5"/>
  <c r="X538" i="5"/>
  <c r="Y538" i="5"/>
  <c r="X484" i="5"/>
  <c r="Y484" i="5"/>
  <c r="Y290" i="5"/>
  <c r="X290" i="5"/>
  <c r="X550" i="5"/>
  <c r="Y550" i="5"/>
  <c r="Y547" i="5"/>
  <c r="X547" i="5"/>
  <c r="X241" i="5"/>
  <c r="Y241" i="5"/>
  <c r="X330" i="5"/>
  <c r="Y330" i="5"/>
  <c r="Y518" i="5"/>
  <c r="X518" i="5"/>
  <c r="X149" i="5"/>
  <c r="Y149" i="5"/>
  <c r="X554" i="5"/>
  <c r="Y554" i="5"/>
  <c r="Y361" i="5"/>
  <c r="X361" i="5"/>
  <c r="Y318" i="5"/>
  <c r="X318" i="5"/>
  <c r="Y455" i="5"/>
  <c r="X455" i="5"/>
  <c r="Y223" i="5"/>
  <c r="X223" i="5"/>
  <c r="X545" i="5"/>
  <c r="Y545" i="5"/>
  <c r="X338" i="5"/>
  <c r="Y338" i="5"/>
  <c r="X157" i="5"/>
  <c r="Y157" i="5"/>
  <c r="X503" i="5"/>
  <c r="Y503" i="5"/>
  <c r="Y558" i="5"/>
  <c r="X558" i="5"/>
  <c r="X119" i="5"/>
  <c r="Y119" i="5"/>
  <c r="Y481" i="5"/>
  <c r="X481" i="5"/>
  <c r="X332" i="5"/>
  <c r="Y332" i="5"/>
  <c r="Y191" i="5"/>
  <c r="X191" i="5"/>
  <c r="X76" i="5"/>
  <c r="Y76" i="5"/>
  <c r="Y281" i="5"/>
  <c r="X281" i="5"/>
  <c r="Y196" i="5"/>
  <c r="X196" i="5"/>
  <c r="Y452" i="5"/>
  <c r="X452" i="5"/>
  <c r="Y298" i="5"/>
  <c r="X298" i="5"/>
  <c r="Y461" i="5"/>
  <c r="X461" i="5"/>
  <c r="Y504" i="5"/>
  <c r="X504" i="5"/>
  <c r="X349" i="5"/>
  <c r="Y349" i="5"/>
  <c r="Y114" i="5"/>
  <c r="X114" i="5"/>
  <c r="Y394" i="5"/>
  <c r="X394" i="5"/>
  <c r="Y220" i="5"/>
  <c r="X220" i="5"/>
  <c r="X224" i="5"/>
  <c r="Y224" i="5"/>
  <c r="Y505" i="5"/>
  <c r="X505" i="5"/>
  <c r="X106" i="5"/>
  <c r="Y106" i="5"/>
  <c r="X302" i="5"/>
  <c r="Y302" i="5"/>
  <c r="X243" i="5"/>
  <c r="Y243" i="5"/>
  <c r="Y492" i="5"/>
  <c r="X492" i="5"/>
  <c r="X214" i="5"/>
  <c r="Y214" i="5"/>
  <c r="X549" i="5"/>
  <c r="Y549" i="5"/>
  <c r="X300" i="5"/>
  <c r="Y300" i="5"/>
  <c r="X37" i="5"/>
  <c r="Y37" i="5"/>
  <c r="Y553" i="5"/>
  <c r="X553" i="5"/>
  <c r="X426" i="5"/>
  <c r="Y426" i="5"/>
  <c r="Y60" i="5"/>
  <c r="X60" i="5"/>
  <c r="X476" i="5"/>
  <c r="Y476" i="5"/>
  <c r="Y70" i="5"/>
  <c r="X70" i="5"/>
  <c r="X69" i="5"/>
  <c r="Y69" i="5"/>
  <c r="X315" i="5"/>
  <c r="Y315" i="5"/>
  <c r="X271" i="5"/>
  <c r="Y271" i="5"/>
  <c r="X242" i="5"/>
  <c r="Y242" i="5"/>
  <c r="X433" i="5"/>
  <c r="Y433" i="5"/>
  <c r="X65" i="5"/>
  <c r="Y65" i="5"/>
  <c r="Y496" i="5"/>
  <c r="X496" i="5"/>
  <c r="Y80" i="5"/>
  <c r="X80" i="5"/>
  <c r="X556" i="5"/>
  <c r="Y556" i="5"/>
  <c r="X331" i="5"/>
  <c r="Y331" i="5"/>
  <c r="X238" i="5"/>
  <c r="Y238" i="5"/>
  <c r="X335" i="5"/>
  <c r="Y335" i="5"/>
  <c r="Y555" i="5"/>
  <c r="X555" i="5"/>
  <c r="X248" i="5"/>
  <c r="Y248" i="5"/>
  <c r="X352" i="5"/>
  <c r="Y352" i="5"/>
  <c r="Y440" i="5"/>
  <c r="X440" i="5"/>
  <c r="Y209" i="5"/>
  <c r="X209" i="5"/>
  <c r="X395" i="5"/>
  <c r="Y395" i="5"/>
  <c r="X507" i="5"/>
  <c r="Y507" i="5"/>
  <c r="X482" i="5"/>
  <c r="Y482" i="5"/>
  <c r="Y295" i="5"/>
  <c r="X295" i="5"/>
  <c r="X25" i="5"/>
  <c r="Y25" i="5"/>
  <c r="X296" i="5"/>
  <c r="Y296" i="5"/>
  <c r="X393" i="5"/>
  <c r="Y393" i="5"/>
  <c r="X121" i="5"/>
  <c r="Y121" i="5"/>
  <c r="Y166" i="5"/>
  <c r="X166" i="5"/>
  <c r="X30" i="5"/>
  <c r="Y30" i="5"/>
  <c r="Y198" i="5"/>
  <c r="X198" i="5"/>
  <c r="X36" i="5"/>
  <c r="Y36" i="5"/>
  <c r="Y110" i="5"/>
  <c r="X110" i="5"/>
  <c r="X415" i="5"/>
  <c r="Y415" i="5"/>
  <c r="Y217" i="5"/>
  <c r="X217" i="5"/>
  <c r="X253" i="5"/>
  <c r="Y253" i="5"/>
  <c r="Y115" i="5"/>
  <c r="X115" i="5"/>
  <c r="X381" i="5"/>
  <c r="Y381" i="5"/>
  <c r="X541" i="5"/>
  <c r="Y541" i="5"/>
  <c r="Y317" i="5"/>
  <c r="X317" i="5"/>
  <c r="X83" i="5"/>
  <c r="Y83" i="5"/>
  <c r="Y109" i="5"/>
  <c r="X109" i="5"/>
  <c r="X20" i="5"/>
  <c r="Y20" i="5"/>
  <c r="X249" i="5"/>
  <c r="Y249" i="5"/>
  <c r="AV81" i="4"/>
  <c r="U81" i="4"/>
  <c r="AV120" i="4"/>
  <c r="U120" i="4"/>
  <c r="AV117" i="4"/>
  <c r="U117" i="4"/>
  <c r="H29" i="1"/>
  <c r="K94" i="2"/>
  <c r="B84" i="2"/>
  <c r="B86" i="2" s="1"/>
  <c r="B87" i="2" s="1"/>
  <c r="H30" i="1" s="1"/>
  <c r="Y448" i="5"/>
  <c r="X448" i="5"/>
  <c r="X525" i="5"/>
  <c r="Y525" i="5"/>
  <c r="X22" i="5"/>
  <c r="Y22" i="5"/>
  <c r="Y333" i="5"/>
  <c r="X333" i="5"/>
  <c r="X500" i="5"/>
  <c r="Y500" i="5"/>
  <c r="Y103" i="5"/>
  <c r="X103" i="5"/>
  <c r="Y289" i="5"/>
  <c r="X289" i="5"/>
  <c r="Y404" i="5"/>
  <c r="X404" i="5"/>
  <c r="Y170" i="5"/>
  <c r="X170" i="5"/>
  <c r="Y287" i="5"/>
  <c r="X287" i="5"/>
  <c r="X389" i="5"/>
  <c r="Y389" i="5"/>
  <c r="X46" i="5"/>
  <c r="Y46" i="5"/>
  <c r="Y356" i="5"/>
  <c r="X356" i="5"/>
  <c r="X77" i="5"/>
  <c r="Y77" i="5"/>
  <c r="X58" i="5"/>
  <c r="Y58" i="5"/>
  <c r="X534" i="5"/>
  <c r="Y534" i="5"/>
  <c r="X50" i="5"/>
  <c r="Y50" i="5"/>
  <c r="X272" i="5"/>
  <c r="Y272" i="5"/>
  <c r="X355" i="5"/>
  <c r="Y355" i="5"/>
  <c r="X257" i="5"/>
  <c r="Y257" i="5"/>
  <c r="X364" i="5"/>
  <c r="Y364" i="5"/>
  <c r="X251" i="5"/>
  <c r="Y251" i="5"/>
  <c r="Y399" i="5"/>
  <c r="X399" i="5"/>
  <c r="Y464" i="5"/>
  <c r="X464" i="5"/>
  <c r="Y425" i="5"/>
  <c r="X425" i="5"/>
  <c r="Y40" i="5"/>
  <c r="X40" i="5"/>
  <c r="Y226" i="5"/>
  <c r="X226" i="5"/>
  <c r="Y150" i="5"/>
  <c r="X150" i="5"/>
  <c r="Y548" i="5"/>
  <c r="X548" i="5"/>
  <c r="Y105" i="5"/>
  <c r="X105" i="5"/>
  <c r="AV79" i="4"/>
  <c r="U79" i="4"/>
  <c r="AV151" i="4"/>
  <c r="U151" i="4"/>
  <c r="AV83" i="4"/>
  <c r="U83" i="4"/>
  <c r="AV28" i="4"/>
  <c r="U28" i="4"/>
  <c r="Y79" i="5"/>
  <c r="X79" i="5"/>
  <c r="X284" i="5"/>
  <c r="Y284" i="5"/>
  <c r="X96" i="5"/>
  <c r="Y96" i="5"/>
  <c r="X391" i="5"/>
  <c r="Y391" i="5"/>
  <c r="X129" i="5"/>
  <c r="Y129" i="5"/>
  <c r="Y387" i="5"/>
  <c r="X387" i="5"/>
  <c r="X530" i="5"/>
  <c r="Y530" i="5"/>
  <c r="X342" i="5"/>
  <c r="Y342" i="5"/>
  <c r="X528" i="5"/>
  <c r="Y528" i="5"/>
  <c r="X432" i="5"/>
  <c r="Y432" i="5"/>
  <c r="X134" i="5"/>
  <c r="Y134" i="5"/>
  <c r="X162" i="5"/>
  <c r="Y162" i="5"/>
  <c r="Y441" i="5"/>
  <c r="X441" i="5"/>
  <c r="Y194" i="5"/>
  <c r="X194" i="5"/>
  <c r="X252" i="5"/>
  <c r="Y252" i="5"/>
  <c r="X236" i="5"/>
  <c r="Y236" i="5"/>
  <c r="X222" i="5"/>
  <c r="Y222" i="5"/>
  <c r="X48" i="5"/>
  <c r="Y48" i="5"/>
  <c r="X63" i="5"/>
  <c r="Y63" i="5"/>
  <c r="X61" i="5"/>
  <c r="Y61" i="5"/>
  <c r="Y308" i="5"/>
  <c r="X308" i="5"/>
  <c r="X445" i="5"/>
  <c r="Y445" i="5"/>
  <c r="X457" i="5"/>
  <c r="Y457" i="5"/>
  <c r="Y120" i="5"/>
  <c r="X120" i="5"/>
  <c r="Y551" i="5"/>
  <c r="X551" i="5"/>
  <c r="Y509" i="5"/>
  <c r="X509" i="5"/>
  <c r="Y193" i="5"/>
  <c r="X193" i="5"/>
  <c r="X127" i="5"/>
  <c r="Y127" i="5"/>
  <c r="X188" i="5"/>
  <c r="Y188" i="5"/>
  <c r="Y510" i="5"/>
  <c r="X510" i="5"/>
  <c r="Y24" i="5"/>
  <c r="X24" i="5"/>
  <c r="Y539" i="5"/>
  <c r="X539" i="5"/>
  <c r="X161" i="5"/>
  <c r="Y161" i="5"/>
  <c r="Y270" i="5"/>
  <c r="X270" i="5"/>
  <c r="X72" i="5"/>
  <c r="Y72" i="5"/>
  <c r="X490" i="5"/>
  <c r="Y490" i="5"/>
  <c r="X108" i="5"/>
  <c r="Y108" i="5"/>
  <c r="X462" i="5"/>
  <c r="Y462" i="5"/>
  <c r="Y451" i="5"/>
  <c r="X451" i="5"/>
  <c r="Y97" i="5"/>
  <c r="X97" i="5"/>
  <c r="X405" i="5"/>
  <c r="Y405" i="5"/>
  <c r="Y495" i="5"/>
  <c r="X495" i="5"/>
  <c r="X183" i="5"/>
  <c r="Y183" i="5"/>
  <c r="Y82" i="5"/>
  <c r="X82" i="5"/>
  <c r="X33" i="5"/>
  <c r="Y33" i="5"/>
  <c r="X354" i="5"/>
  <c r="Y354" i="5"/>
  <c r="X56" i="5"/>
  <c r="Y56" i="5"/>
  <c r="X475" i="5"/>
  <c r="Y475" i="5"/>
  <c r="X523" i="5"/>
  <c r="Y523" i="5"/>
  <c r="Y299" i="5"/>
  <c r="X299" i="5"/>
  <c r="Y189" i="5"/>
  <c r="X189" i="5"/>
  <c r="Y67" i="5"/>
  <c r="X67" i="5"/>
  <c r="X374" i="5"/>
  <c r="Y374" i="5"/>
  <c r="Y468" i="5"/>
  <c r="X468" i="5"/>
  <c r="Y139" i="5"/>
  <c r="X139" i="5"/>
  <c r="Y421" i="5"/>
  <c r="X421" i="5"/>
  <c r="X469" i="5"/>
  <c r="Y469" i="5"/>
  <c r="X325" i="5"/>
  <c r="Y325" i="5"/>
  <c r="X123" i="5"/>
  <c r="Y123" i="5"/>
  <c r="Y517" i="5"/>
  <c r="X517" i="5"/>
  <c r="X138" i="5"/>
  <c r="Y138" i="5"/>
  <c r="Y59" i="5"/>
  <c r="X59" i="5"/>
  <c r="Y164" i="5"/>
  <c r="X164" i="5"/>
  <c r="X266" i="5"/>
  <c r="Y266" i="5"/>
  <c r="Y382" i="5"/>
  <c r="X382" i="5"/>
  <c r="Y62" i="5"/>
  <c r="X62" i="5"/>
  <c r="X506" i="5"/>
  <c r="Y506" i="5"/>
  <c r="X543" i="5"/>
  <c r="Y543" i="5"/>
  <c r="X282" i="5"/>
  <c r="Y282" i="5"/>
  <c r="X136" i="5"/>
  <c r="Y136" i="5"/>
  <c r="X273" i="5"/>
  <c r="Y273" i="5"/>
  <c r="X390" i="5"/>
  <c r="Y390" i="5"/>
  <c r="X350" i="5"/>
  <c r="Y350" i="5"/>
  <c r="Y228" i="5"/>
  <c r="X228" i="5"/>
  <c r="X467" i="5"/>
  <c r="Y467" i="5"/>
  <c r="X326" i="5"/>
  <c r="Y326" i="5"/>
  <c r="Y75" i="5"/>
  <c r="X75" i="5"/>
  <c r="Y294" i="5"/>
  <c r="X294" i="5"/>
  <c r="X178" i="5"/>
  <c r="Y178" i="5"/>
  <c r="Y491" i="5"/>
  <c r="X491" i="5"/>
  <c r="Y359" i="5"/>
  <c r="X359" i="5"/>
  <c r="Y385" i="5"/>
  <c r="X385" i="5"/>
  <c r="Y68" i="5"/>
  <c r="X68" i="5"/>
  <c r="X38" i="5"/>
  <c r="Y38" i="5"/>
  <c r="X542" i="5"/>
  <c r="Y542" i="5"/>
  <c r="X408" i="5"/>
  <c r="Y408" i="5"/>
  <c r="Y472" i="5"/>
  <c r="X472" i="5"/>
  <c r="X471" i="5"/>
  <c r="Y471" i="5"/>
  <c r="X29" i="5"/>
  <c r="Y29" i="5"/>
  <c r="X322" i="5"/>
  <c r="Y322" i="5"/>
  <c r="Y312" i="5"/>
  <c r="X312" i="5"/>
  <c r="X199" i="5"/>
  <c r="Y199" i="5"/>
  <c r="X34" i="5"/>
  <c r="Y34" i="5"/>
  <c r="X177" i="5"/>
  <c r="Y177" i="5"/>
  <c r="Y301" i="5"/>
  <c r="X301" i="5"/>
  <c r="X145" i="5"/>
  <c r="Y145" i="5"/>
  <c r="X269" i="5"/>
  <c r="Y269" i="5"/>
  <c r="X221" i="5"/>
  <c r="Y221" i="5"/>
  <c r="Y208" i="5"/>
  <c r="X208" i="5"/>
  <c r="X92" i="5"/>
  <c r="Y92" i="5"/>
  <c r="Y437" i="5"/>
  <c r="X437" i="5"/>
  <c r="X334" i="5"/>
  <c r="Y334" i="5"/>
  <c r="X74" i="5"/>
  <c r="Y74" i="5"/>
  <c r="X200" i="5"/>
  <c r="Y200" i="5"/>
  <c r="X246" i="5"/>
  <c r="Y246" i="5"/>
  <c r="Y348" i="5"/>
  <c r="X348" i="5"/>
  <c r="Y485" i="5"/>
  <c r="X485" i="5"/>
  <c r="X311" i="5"/>
  <c r="Y311" i="5"/>
  <c r="Y339" i="5"/>
  <c r="X339" i="5"/>
  <c r="Y160" i="5"/>
  <c r="X160" i="5"/>
  <c r="Y413" i="5"/>
  <c r="X413" i="5"/>
  <c r="Y379" i="5"/>
  <c r="X379" i="5"/>
  <c r="Y140" i="5"/>
  <c r="X140" i="5"/>
  <c r="X89" i="5"/>
  <c r="Y89" i="5"/>
  <c r="X466" i="5"/>
  <c r="Y466" i="5"/>
  <c r="Y229" i="5"/>
  <c r="X229" i="5"/>
  <c r="X168" i="5"/>
  <c r="Y168" i="5"/>
  <c r="Y416" i="5"/>
  <c r="X416" i="5"/>
  <c r="X499" i="5"/>
  <c r="Y499" i="5"/>
  <c r="X148" i="5"/>
  <c r="Y148" i="5"/>
  <c r="Y231" i="5"/>
  <c r="X231" i="5"/>
  <c r="R7" i="5"/>
  <c r="S7" i="5"/>
  <c r="AV74" i="4"/>
  <c r="U74" i="4"/>
  <c r="AV137" i="4"/>
  <c r="U137" i="4"/>
  <c r="AV126" i="4"/>
  <c r="U126" i="4"/>
  <c r="AV147" i="4"/>
  <c r="U147" i="4"/>
  <c r="AV121" i="4"/>
  <c r="U121" i="4"/>
  <c r="AV8" i="4"/>
  <c r="U8" i="4"/>
  <c r="AV94" i="4"/>
  <c r="U94" i="4"/>
  <c r="AV15" i="4"/>
  <c r="U15" i="4"/>
  <c r="AV59" i="4"/>
  <c r="U59" i="4"/>
  <c r="AV30" i="4"/>
  <c r="U30" i="4"/>
  <c r="AV93" i="4"/>
  <c r="U93" i="4"/>
  <c r="AV44" i="4"/>
  <c r="U44" i="4"/>
  <c r="AV145" i="4"/>
  <c r="U145" i="4"/>
  <c r="AV33" i="4"/>
  <c r="U33" i="4"/>
  <c r="AV31" i="4"/>
  <c r="U31" i="4"/>
  <c r="AV141" i="4"/>
  <c r="U141" i="4"/>
  <c r="AV67" i="4"/>
  <c r="U67" i="4"/>
  <c r="AV61" i="4"/>
  <c r="U61" i="4"/>
  <c r="AF11" i="5"/>
  <c r="AF9" i="5"/>
  <c r="AF94" i="5"/>
  <c r="AF395" i="5"/>
  <c r="AF391" i="5"/>
  <c r="AF497" i="5"/>
  <c r="AF523" i="5"/>
  <c r="AF342" i="5"/>
  <c r="AF499" i="5"/>
  <c r="AF56" i="5"/>
  <c r="AF258" i="5"/>
  <c r="AF524" i="5"/>
  <c r="AF414" i="5"/>
  <c r="AF33" i="5"/>
  <c r="AF245" i="5"/>
  <c r="AF277" i="5"/>
  <c r="AF517" i="5"/>
  <c r="AF452" i="5"/>
  <c r="AF496" i="5"/>
  <c r="AF136" i="5"/>
  <c r="AF513" i="5"/>
  <c r="AF461" i="5"/>
  <c r="AF232" i="5"/>
  <c r="AF250" i="5"/>
  <c r="AF511" i="5"/>
  <c r="AF321" i="5"/>
  <c r="AF167" i="5"/>
  <c r="AF29" i="5"/>
  <c r="AF77" i="5"/>
  <c r="AF440" i="5"/>
  <c r="AF164" i="5"/>
  <c r="AF371" i="5"/>
  <c r="AF281" i="5"/>
  <c r="AF292" i="5"/>
  <c r="AF330" i="5"/>
  <c r="AF43" i="5"/>
  <c r="AF364" i="5"/>
  <c r="AF148" i="5"/>
  <c r="AF454" i="5"/>
  <c r="AF460" i="5"/>
  <c r="AF495" i="5"/>
  <c r="AF98" i="5"/>
  <c r="AF539" i="5"/>
  <c r="AF445" i="5"/>
  <c r="AF55" i="5"/>
  <c r="AF360" i="5"/>
  <c r="AF412" i="5"/>
  <c r="AF427" i="5"/>
  <c r="AF305" i="5"/>
  <c r="AF146" i="5"/>
  <c r="AF288" i="5"/>
  <c r="AF131" i="5"/>
  <c r="AF112" i="5"/>
  <c r="AF189" i="5"/>
  <c r="AF551" i="5"/>
  <c r="AF139" i="5"/>
  <c r="AF104" i="5"/>
  <c r="AF177" i="5"/>
  <c r="AF210" i="5"/>
  <c r="AF500" i="5"/>
  <c r="AF243" i="5"/>
  <c r="AF205" i="5"/>
  <c r="AF278" i="5"/>
  <c r="AF172" i="5"/>
  <c r="AF393" i="5"/>
  <c r="AF366" i="5"/>
  <c r="AF347" i="5"/>
  <c r="AF127" i="5"/>
  <c r="AF89" i="5"/>
  <c r="AF153" i="5"/>
  <c r="AF208" i="5"/>
  <c r="AF256" i="5"/>
  <c r="AF255" i="5"/>
  <c r="AF234" i="5"/>
  <c r="AF116" i="5"/>
  <c r="AF532" i="5"/>
  <c r="AF415" i="5"/>
  <c r="AP415" i="5" s="1"/>
  <c r="AF100" i="5"/>
  <c r="AF537" i="5"/>
  <c r="AF544" i="5"/>
  <c r="AF310" i="5"/>
  <c r="AF430" i="5"/>
  <c r="AF142" i="5"/>
  <c r="AF357" i="5"/>
  <c r="AF138" i="5"/>
  <c r="AF548" i="5"/>
  <c r="AF318" i="5"/>
  <c r="AF85" i="5"/>
  <c r="AF542" i="5"/>
  <c r="AF370" i="5"/>
  <c r="AF308" i="5"/>
  <c r="AF465" i="5"/>
  <c r="AF467" i="5"/>
  <c r="AF451" i="5"/>
  <c r="AF408" i="5"/>
  <c r="AF163" i="5"/>
  <c r="AF122" i="5"/>
  <c r="AF203" i="5"/>
  <c r="AF76" i="5"/>
  <c r="AF118" i="5"/>
  <c r="AF443" i="5"/>
  <c r="AF257" i="5"/>
  <c r="AF268" i="5"/>
  <c r="AF30" i="5"/>
  <c r="AF401" i="5"/>
  <c r="AF295" i="5"/>
  <c r="AF252" i="5"/>
  <c r="AF550" i="5"/>
  <c r="AF506" i="5"/>
  <c r="AF486" i="5"/>
  <c r="AF394" i="5"/>
  <c r="AF425" i="5"/>
  <c r="AF19" i="5"/>
  <c r="AF212" i="5"/>
  <c r="AF135" i="5"/>
  <c r="AF488" i="5"/>
  <c r="AF510" i="5"/>
  <c r="AF231" i="5"/>
  <c r="AF490" i="5"/>
  <c r="AF93" i="5"/>
  <c r="AF435" i="5"/>
  <c r="AF267" i="5"/>
  <c r="AF346" i="5"/>
  <c r="AF265" i="5"/>
  <c r="AF241" i="5"/>
  <c r="AF140" i="5"/>
  <c r="AF507" i="5"/>
  <c r="AF62" i="5"/>
  <c r="AF319" i="5"/>
  <c r="AF128" i="5"/>
  <c r="AF291" i="5"/>
  <c r="AF32" i="5"/>
  <c r="AF555" i="5"/>
  <c r="AF389" i="5"/>
  <c r="AF156" i="5"/>
  <c r="AF133" i="5"/>
  <c r="AF424" i="5"/>
  <c r="AF477" i="5"/>
  <c r="AF260" i="5"/>
  <c r="AF194" i="5"/>
  <c r="AF325" i="5"/>
  <c r="AF242" i="5"/>
  <c r="AF399" i="5"/>
  <c r="AF527" i="5"/>
  <c r="AF63" i="5"/>
  <c r="AF480" i="5"/>
  <c r="AF505" i="5"/>
  <c r="AF458" i="5"/>
  <c r="AF478" i="5"/>
  <c r="AF36" i="5"/>
  <c r="AF201" i="5"/>
  <c r="AF181" i="5"/>
  <c r="AF361" i="5"/>
  <c r="AF372" i="5"/>
  <c r="AF52" i="5"/>
  <c r="AF459" i="5"/>
  <c r="AF132" i="5"/>
  <c r="AF190" i="5"/>
  <c r="AF45" i="5"/>
  <c r="AF247" i="5"/>
  <c r="AF279" i="5"/>
  <c r="AF46" i="5"/>
  <c r="AF134" i="5"/>
  <c r="AF368" i="5"/>
  <c r="AF123" i="5"/>
  <c r="AF73" i="5"/>
  <c r="AF403" i="5"/>
  <c r="AF538" i="5"/>
  <c r="AF48" i="5"/>
  <c r="AF166" i="5"/>
  <c r="AF26" i="5"/>
  <c r="AF8" i="5"/>
  <c r="AF540" i="5"/>
  <c r="AF374" i="5"/>
  <c r="AF326" i="5"/>
  <c r="AF99" i="5"/>
  <c r="AF526" i="5"/>
  <c r="AF207" i="5"/>
  <c r="AF290" i="5"/>
  <c r="AF546" i="5"/>
  <c r="AF334" i="5"/>
  <c r="AF547" i="5"/>
  <c r="AF441" i="5"/>
  <c r="AF58" i="5"/>
  <c r="AF110" i="5"/>
  <c r="AF187" i="5"/>
  <c r="AF312" i="5"/>
  <c r="AF313" i="5"/>
  <c r="AF314" i="5"/>
  <c r="AF417" i="5"/>
  <c r="AF66" i="5"/>
  <c r="AF554" i="5"/>
  <c r="AF385" i="5"/>
  <c r="AF447" i="5"/>
  <c r="AF516" i="5"/>
  <c r="AF240" i="5"/>
  <c r="AF323" i="5"/>
  <c r="AF283" i="5"/>
  <c r="AF87" i="5"/>
  <c r="AF178" i="5"/>
  <c r="AF558" i="5"/>
  <c r="AF453" i="5"/>
  <c r="AF31" i="5"/>
  <c r="AF333" i="5"/>
  <c r="AF216" i="5"/>
  <c r="AF404" i="5"/>
  <c r="AF350" i="5"/>
  <c r="AF282" i="5"/>
  <c r="AF429" i="5"/>
  <c r="AF175" i="5"/>
  <c r="AF154" i="5"/>
  <c r="AF533" i="5"/>
  <c r="AF434" i="5"/>
  <c r="AF126" i="5"/>
  <c r="AF125" i="5"/>
  <c r="AF525" i="5"/>
  <c r="AF504" i="5"/>
  <c r="AF348" i="5"/>
  <c r="AF23" i="5"/>
  <c r="AF387" i="5"/>
  <c r="AF161" i="5"/>
  <c r="AF42" i="5"/>
  <c r="AF469" i="5"/>
  <c r="AF124" i="5"/>
  <c r="AF419" i="5"/>
  <c r="AF158" i="5"/>
  <c r="AF339" i="5"/>
  <c r="AF185" i="5"/>
  <c r="AF222" i="5"/>
  <c r="AF428" i="5"/>
  <c r="AF392" i="5"/>
  <c r="AF448" i="5"/>
  <c r="AF474" i="5"/>
  <c r="AF439" i="5"/>
  <c r="AF108" i="5"/>
  <c r="AF302" i="5"/>
  <c r="AF20" i="5"/>
  <c r="AF151" i="5"/>
  <c r="AF522" i="5"/>
  <c r="AF472" i="5"/>
  <c r="AF549" i="5"/>
  <c r="AF70" i="5"/>
  <c r="AF237" i="5"/>
  <c r="AF317" i="5"/>
  <c r="AF160" i="5"/>
  <c r="AF214" i="5"/>
  <c r="AF444" i="5"/>
  <c r="AF179" i="5"/>
  <c r="AF503" i="5"/>
  <c r="AF236" i="5"/>
  <c r="AF307" i="5"/>
  <c r="AF437" i="5"/>
  <c r="AF479" i="5"/>
  <c r="AF191" i="5"/>
  <c r="AF41" i="5"/>
  <c r="AF229" i="5"/>
  <c r="AF320" i="5"/>
  <c r="AF143" i="5"/>
  <c r="AF249" i="5"/>
  <c r="AF359" i="5"/>
  <c r="AF388" i="5"/>
  <c r="AF211" i="5"/>
  <c r="AF107" i="5"/>
  <c r="AF315" i="5"/>
  <c r="AF462" i="5"/>
  <c r="AF384" i="5"/>
  <c r="AF455" i="5"/>
  <c r="AF200" i="5"/>
  <c r="AF246" i="5"/>
  <c r="AF114" i="5"/>
  <c r="AF433" i="5"/>
  <c r="AF489" i="5"/>
  <c r="AF520" i="5"/>
  <c r="AF91" i="5"/>
  <c r="AF529" i="5"/>
  <c r="AF299" i="5"/>
  <c r="AF117" i="5"/>
  <c r="AF294" i="5"/>
  <c r="AF109" i="5"/>
  <c r="AF543" i="5"/>
  <c r="AF426" i="5"/>
  <c r="AF121" i="5"/>
  <c r="AF235" i="5"/>
  <c r="AF206" i="5"/>
  <c r="AF416" i="5"/>
  <c r="AF369" i="5"/>
  <c r="AF176" i="5"/>
  <c r="AF335" i="5"/>
  <c r="AF223" i="5"/>
  <c r="AF204" i="5"/>
  <c r="AF141" i="5"/>
  <c r="AF218" i="5"/>
  <c r="AF51" i="5"/>
  <c r="AF367" i="5"/>
  <c r="AF173" i="5"/>
  <c r="AF336" i="5"/>
  <c r="AF88" i="5"/>
  <c r="AF103" i="5"/>
  <c r="AF483" i="5"/>
  <c r="AF39" i="5"/>
  <c r="AF180" i="5"/>
  <c r="AF423" i="5"/>
  <c r="AF261" i="5"/>
  <c r="AF402" i="5"/>
  <c r="AF209" i="5"/>
  <c r="AF457" i="5"/>
  <c r="AF251" i="5"/>
  <c r="AF274" i="5"/>
  <c r="AF239" i="5"/>
  <c r="AP239" i="5" s="1"/>
  <c r="AF409" i="5"/>
  <c r="AF199" i="5"/>
  <c r="AF196" i="5"/>
  <c r="AF13" i="5"/>
  <c r="AF220" i="5"/>
  <c r="AF411" i="5"/>
  <c r="AF309" i="5"/>
  <c r="AF28" i="5"/>
  <c r="AF470" i="5"/>
  <c r="AF188" i="5"/>
  <c r="AF170" i="5"/>
  <c r="AF553" i="5"/>
  <c r="AF338" i="5"/>
  <c r="AF446" i="5"/>
  <c r="AF145" i="5"/>
  <c r="AF390" i="5"/>
  <c r="AF502" i="5"/>
  <c r="AF501" i="5"/>
  <c r="AF244" i="5"/>
  <c r="AF60" i="5"/>
  <c r="AF287" i="5"/>
  <c r="AF79" i="5"/>
  <c r="AF150" i="5"/>
  <c r="AF54" i="5"/>
  <c r="AF464" i="5"/>
  <c r="AF159" i="5"/>
  <c r="AF80" i="5"/>
  <c r="AF284" i="5"/>
  <c r="AF442" i="5"/>
  <c r="AF400" i="5"/>
  <c r="AF183" i="5"/>
  <c r="AF491" i="5"/>
  <c r="AF47" i="5"/>
  <c r="AF397" i="5"/>
  <c r="AF171" i="5"/>
  <c r="AF262" i="5"/>
  <c r="AF410" i="5"/>
  <c r="AF61" i="5"/>
  <c r="AF345" i="5"/>
  <c r="AF82" i="5"/>
  <c r="AF67" i="5"/>
  <c r="AF221" i="5"/>
  <c r="AF168" i="5"/>
  <c r="AF269" i="5"/>
  <c r="AF485" i="5"/>
  <c r="AF119" i="5"/>
  <c r="AF463" i="5"/>
  <c r="AF53" i="5"/>
  <c r="AF137" i="5"/>
  <c r="AF494" i="5"/>
  <c r="AF536" i="5"/>
  <c r="AF50" i="5"/>
  <c r="AF322" i="5"/>
  <c r="AF72" i="5"/>
  <c r="AF431" i="5"/>
  <c r="AF92" i="5"/>
  <c r="AF406" i="5"/>
  <c r="AF195" i="5"/>
  <c r="AF213" i="5"/>
  <c r="AF353" i="5"/>
  <c r="AF259" i="5"/>
  <c r="AF86" i="5"/>
  <c r="AF197" i="5"/>
  <c r="AF271" i="5"/>
  <c r="AF528" i="5"/>
  <c r="AF280" i="5"/>
  <c r="AF436" i="5"/>
  <c r="AF186" i="5"/>
  <c r="AF130" i="5"/>
  <c r="AF481" i="5"/>
  <c r="AF296" i="5"/>
  <c r="AF398" i="5"/>
  <c r="AF456" i="5"/>
  <c r="AF101" i="5"/>
  <c r="AF381" i="5"/>
  <c r="AF450" i="5"/>
  <c r="AF383" i="5"/>
  <c r="AF65" i="5"/>
  <c r="AF303" i="5"/>
  <c r="AF147" i="5"/>
  <c r="AF157" i="5"/>
  <c r="AF351" i="5"/>
  <c r="AF421" i="5"/>
  <c r="AF75" i="5"/>
  <c r="AF306" i="5"/>
  <c r="AF68" i="5"/>
  <c r="AF169" i="5"/>
  <c r="AF521" i="5"/>
  <c r="AF219" i="5"/>
  <c r="AF377" i="5"/>
  <c r="AF515" i="5"/>
  <c r="AF354" i="5"/>
  <c r="AF418" i="5"/>
  <c r="AF396" i="5"/>
  <c r="AF129" i="5"/>
  <c r="AF152" i="5"/>
  <c r="AF7" i="5"/>
  <c r="AF59" i="5"/>
  <c r="AF438" i="5"/>
  <c r="AF174" i="5"/>
  <c r="AF289" i="5"/>
  <c r="AF328" i="5"/>
  <c r="AF182" i="5"/>
  <c r="AF484" i="5"/>
  <c r="AF466" i="5"/>
  <c r="AF40" i="5"/>
  <c r="AF362" i="5"/>
  <c r="AF230" i="5"/>
  <c r="AF329" i="5"/>
  <c r="AF519" i="5"/>
  <c r="AF78" i="5"/>
  <c r="AF363" i="5"/>
  <c r="AF44" i="5"/>
  <c r="AF90" i="5"/>
  <c r="AF253" i="5"/>
  <c r="AF380" i="5"/>
  <c r="AF468" i="5"/>
  <c r="AF365" i="5"/>
  <c r="AF341" i="5"/>
  <c r="AF297" i="5"/>
  <c r="AF373" i="5"/>
  <c r="AF22" i="5"/>
  <c r="AF304" i="5"/>
  <c r="AF165" i="5"/>
  <c r="AF449" i="5"/>
  <c r="AF331" i="5"/>
  <c r="AF106" i="5"/>
  <c r="AF69" i="5"/>
  <c r="AF96" i="5"/>
  <c r="AF115" i="5"/>
  <c r="AF263" i="5"/>
  <c r="AF413" i="5"/>
  <c r="AF508" i="5"/>
  <c r="AF275" i="5"/>
  <c r="AF24" i="5"/>
  <c r="AF552" i="5"/>
  <c r="AF530" i="5"/>
  <c r="AF316" i="5"/>
  <c r="AF254" i="5"/>
  <c r="AF270" i="5"/>
  <c r="AF81" i="5"/>
  <c r="AF83" i="5"/>
  <c r="AF405" i="5"/>
  <c r="AF215" i="5"/>
  <c r="AF272" i="5"/>
  <c r="AF337" i="5"/>
  <c r="AF162" i="5"/>
  <c r="AF298" i="5"/>
  <c r="AF25" i="5"/>
  <c r="AF102" i="5"/>
  <c r="AF266" i="5"/>
  <c r="AF224" i="5"/>
  <c r="AF386" i="5"/>
  <c r="AF476" i="5"/>
  <c r="AF286" i="5"/>
  <c r="AF541" i="5"/>
  <c r="AF293" i="5"/>
  <c r="AF120" i="5"/>
  <c r="AF560" i="5"/>
  <c r="AF74" i="5"/>
  <c r="AF352" i="5"/>
  <c r="AP352" i="5" s="1"/>
  <c r="AF10" i="5"/>
  <c r="AF38" i="5"/>
  <c r="AF557" i="5"/>
  <c r="AF407" i="5"/>
  <c r="AF349" i="5"/>
  <c r="AF311" i="5"/>
  <c r="AF192" i="5"/>
  <c r="AF514" i="5"/>
  <c r="AF226" i="5"/>
  <c r="AF498" i="5"/>
  <c r="AF238" i="5"/>
  <c r="AF84" i="5"/>
  <c r="AF471" i="5"/>
  <c r="AF57" i="5"/>
  <c r="AF518" i="5"/>
  <c r="AF531" i="5"/>
  <c r="AF422" i="5"/>
  <c r="AF356" i="5"/>
  <c r="AF35" i="5"/>
  <c r="AF378" i="5"/>
  <c r="AF276" i="5"/>
  <c r="AF64" i="5"/>
  <c r="AF355" i="5"/>
  <c r="AF358" i="5"/>
  <c r="AF332" i="5"/>
  <c r="AF193" i="5"/>
  <c r="AF509" i="5"/>
  <c r="AF225" i="5"/>
  <c r="AF327" i="5"/>
  <c r="AF198" i="5"/>
  <c r="AF482" i="5"/>
  <c r="AF264" i="5"/>
  <c r="AF37" i="5"/>
  <c r="AF473" i="5"/>
  <c r="AF144" i="5"/>
  <c r="AF228" i="5"/>
  <c r="AF97" i="5"/>
  <c r="AF27" i="5"/>
  <c r="AF379" i="5"/>
  <c r="AF49" i="5"/>
  <c r="AF556" i="5"/>
  <c r="AF375" i="5"/>
  <c r="AF248" i="5"/>
  <c r="AF71" i="5"/>
  <c r="AF534" i="5"/>
  <c r="AF492" i="5"/>
  <c r="AF559" i="5"/>
  <c r="AP559" i="5" s="1"/>
  <c r="AF545" i="5"/>
  <c r="AF344" i="5"/>
  <c r="AF111" i="5"/>
  <c r="AF340" i="5"/>
  <c r="AF113" i="5"/>
  <c r="AF512" i="5"/>
  <c r="AF155" i="5"/>
  <c r="AF285" i="5"/>
  <c r="AF149" i="5"/>
  <c r="AF12" i="5"/>
  <c r="AF227" i="5"/>
  <c r="AF493" i="5"/>
  <c r="AF432" i="5"/>
  <c r="AF105" i="5"/>
  <c r="AF34" i="5"/>
  <c r="AF21" i="5"/>
  <c r="AF233" i="5"/>
  <c r="AF273" i="5"/>
  <c r="AF535" i="5"/>
  <c r="AF324" i="5"/>
  <c r="AF382" i="5"/>
  <c r="AF343" i="5"/>
  <c r="AF475" i="5"/>
  <c r="AF202" i="5"/>
  <c r="AF300" i="5"/>
  <c r="AF217" i="5"/>
  <c r="AF184" i="5"/>
  <c r="AF420" i="5"/>
  <c r="AF376" i="5"/>
  <c r="AF301" i="5"/>
  <c r="AF95" i="5"/>
  <c r="AF487" i="5"/>
  <c r="Y428" i="5"/>
  <c r="X428" i="5"/>
  <c r="Y336" i="5"/>
  <c r="X336" i="5"/>
  <c r="X449" i="5"/>
  <c r="Y449" i="5"/>
  <c r="X424" i="5"/>
  <c r="Y424" i="5"/>
  <c r="Y456" i="5"/>
  <c r="X456" i="5"/>
  <c r="X340" i="5"/>
  <c r="Y340" i="5"/>
  <c r="X261" i="5"/>
  <c r="Y261" i="5"/>
  <c r="X439" i="5"/>
  <c r="Y439" i="5"/>
  <c r="X460" i="5"/>
  <c r="Y460" i="5"/>
  <c r="X514" i="5"/>
  <c r="Y514" i="5"/>
  <c r="Y213" i="5"/>
  <c r="X213" i="5"/>
  <c r="X444" i="5"/>
  <c r="Y444" i="5"/>
  <c r="Y181" i="5"/>
  <c r="X181" i="5"/>
  <c r="Y345" i="5"/>
  <c r="X345" i="5"/>
  <c r="Y53" i="5"/>
  <c r="X53" i="5"/>
  <c r="X124" i="5"/>
  <c r="Y124" i="5"/>
  <c r="X288" i="5"/>
  <c r="Y288" i="5"/>
  <c r="Y446" i="5"/>
  <c r="X446" i="5"/>
  <c r="X531" i="5"/>
  <c r="Y531" i="5"/>
  <c r="Y458" i="5"/>
  <c r="X458" i="5"/>
  <c r="X406" i="5"/>
  <c r="Y406" i="5"/>
  <c r="Y402" i="5"/>
  <c r="X402" i="5"/>
  <c r="X49" i="5"/>
  <c r="Y49" i="5"/>
  <c r="Y186" i="5"/>
  <c r="X186" i="5"/>
  <c r="X268" i="5"/>
  <c r="Y268" i="5"/>
  <c r="Y450" i="5"/>
  <c r="X450" i="5"/>
  <c r="X526" i="5"/>
  <c r="Y526" i="5"/>
  <c r="X32" i="5"/>
  <c r="Y32" i="5"/>
  <c r="X360" i="5"/>
  <c r="Y360" i="5"/>
  <c r="X392" i="5"/>
  <c r="Y392" i="5"/>
  <c r="Y487" i="5"/>
  <c r="X487" i="5"/>
  <c r="X279" i="5"/>
  <c r="Y279" i="5"/>
  <c r="X532" i="5"/>
  <c r="Y532" i="5"/>
  <c r="X536" i="5"/>
  <c r="Y536" i="5"/>
  <c r="Y447" i="5"/>
  <c r="X447" i="5"/>
  <c r="Y131" i="5"/>
  <c r="X131" i="5"/>
  <c r="X94" i="5"/>
  <c r="Y94" i="5"/>
  <c r="X169" i="5"/>
  <c r="Y169" i="5"/>
  <c r="Y519" i="5"/>
  <c r="X519" i="5"/>
  <c r="Y386" i="5"/>
  <c r="X386" i="5"/>
  <c r="X329" i="5"/>
  <c r="Y329" i="5"/>
  <c r="X93" i="5"/>
  <c r="Y93" i="5"/>
  <c r="Y122" i="5"/>
  <c r="X122" i="5"/>
  <c r="X369" i="5"/>
  <c r="Y369" i="5"/>
  <c r="B182" i="2"/>
  <c r="B171" i="2"/>
  <c r="B179" i="2" s="1"/>
  <c r="B186" i="2" s="1"/>
  <c r="AV85" i="4"/>
  <c r="U85" i="4"/>
  <c r="AV65" i="4"/>
  <c r="U65" i="4"/>
  <c r="AV146" i="4"/>
  <c r="U146" i="4"/>
  <c r="AV99" i="4"/>
  <c r="U99" i="4"/>
  <c r="AV64" i="4"/>
  <c r="U64" i="4"/>
  <c r="AV29" i="4"/>
  <c r="U29" i="4"/>
  <c r="AV98" i="4"/>
  <c r="U98" i="4"/>
  <c r="AV122" i="4"/>
  <c r="U122" i="4"/>
  <c r="AV129" i="4"/>
  <c r="U129" i="4"/>
  <c r="AV89" i="4"/>
  <c r="U89" i="4"/>
  <c r="AV136" i="4"/>
  <c r="U136" i="4"/>
  <c r="AV91" i="4"/>
  <c r="U91" i="4"/>
  <c r="AV109" i="4"/>
  <c r="U109" i="4"/>
  <c r="AV87" i="4"/>
  <c r="U87" i="4"/>
  <c r="AV113" i="4"/>
  <c r="U113" i="4"/>
  <c r="AV53" i="4"/>
  <c r="U53" i="4"/>
  <c r="AV34" i="4"/>
  <c r="U34" i="4"/>
  <c r="AV76" i="4"/>
  <c r="U76" i="4"/>
  <c r="AV41" i="4"/>
  <c r="U41" i="4"/>
  <c r="AV48" i="4"/>
  <c r="U48" i="4"/>
  <c r="AV37" i="4"/>
  <c r="U37" i="4"/>
  <c r="AV96" i="4"/>
  <c r="U96" i="4"/>
  <c r="AV68" i="4"/>
  <c r="U68" i="4"/>
  <c r="AV50" i="4"/>
  <c r="U50" i="4"/>
  <c r="AV56" i="4"/>
  <c r="U56" i="4"/>
  <c r="AV46" i="4"/>
  <c r="U46" i="4"/>
  <c r="AV102" i="4"/>
  <c r="U102" i="4"/>
  <c r="AV62" i="4"/>
  <c r="U62" i="4"/>
  <c r="U108" i="4"/>
  <c r="AV108" i="4"/>
  <c r="AV95" i="4"/>
  <c r="U95" i="4"/>
  <c r="AV39" i="4"/>
  <c r="U39" i="4"/>
  <c r="AV25" i="4"/>
  <c r="U25" i="4"/>
  <c r="U9" i="4"/>
  <c r="AV9" i="4"/>
  <c r="B39" i="5"/>
  <c r="B38" i="5"/>
  <c r="X26" i="5"/>
  <c r="Y26" i="5"/>
  <c r="X263" i="5"/>
  <c r="Y263" i="5"/>
  <c r="X321" i="5"/>
  <c r="Y321" i="5"/>
  <c r="Y102" i="5"/>
  <c r="X102" i="5"/>
  <c r="Y429" i="5"/>
  <c r="X429" i="5"/>
  <c r="X159" i="5"/>
  <c r="Y159" i="5"/>
  <c r="X362" i="5"/>
  <c r="Y362" i="5"/>
  <c r="X427" i="5"/>
  <c r="Y427" i="5"/>
  <c r="X401" i="5"/>
  <c r="Y401" i="5"/>
  <c r="X240" i="5"/>
  <c r="Y240" i="5"/>
  <c r="X153" i="5"/>
  <c r="Y153" i="5"/>
  <c r="Y478" i="5"/>
  <c r="X478" i="5"/>
  <c r="X244" i="5"/>
  <c r="Y244" i="5"/>
  <c r="Y313" i="5"/>
  <c r="X313" i="5"/>
  <c r="Y78" i="5"/>
  <c r="X78" i="5"/>
  <c r="X470" i="5"/>
  <c r="Y470" i="5"/>
  <c r="AV63" i="4"/>
  <c r="U63" i="4"/>
  <c r="AV119" i="4"/>
  <c r="U119" i="4"/>
  <c r="AV100" i="4"/>
  <c r="U100" i="4"/>
  <c r="AV43" i="4"/>
  <c r="U43" i="4"/>
  <c r="AV139" i="4"/>
  <c r="U139" i="4"/>
  <c r="AV130" i="4"/>
  <c r="U130" i="4"/>
  <c r="AV82" i="4"/>
  <c r="U82" i="4"/>
  <c r="U16" i="4"/>
  <c r="AV16" i="4"/>
  <c r="AV78" i="4"/>
  <c r="U78" i="4"/>
  <c r="AV105" i="4"/>
  <c r="U105" i="4"/>
  <c r="AV104" i="4"/>
  <c r="U104" i="4"/>
  <c r="AV55" i="4"/>
  <c r="U55" i="4"/>
  <c r="AV47" i="4"/>
  <c r="U47" i="4"/>
  <c r="AV135" i="4"/>
  <c r="U135" i="4"/>
  <c r="AV27" i="4"/>
  <c r="U27" i="4"/>
  <c r="AV20" i="4"/>
  <c r="U20" i="4"/>
  <c r="AV69" i="4"/>
  <c r="U69" i="4"/>
  <c r="AV140" i="4"/>
  <c r="U140" i="4"/>
  <c r="AV114" i="4"/>
  <c r="U114" i="4"/>
  <c r="AV88" i="4"/>
  <c r="U88" i="4"/>
  <c r="AV97" i="4"/>
  <c r="U97" i="4"/>
  <c r="AV106" i="4"/>
  <c r="U106" i="4"/>
  <c r="AV118" i="4"/>
  <c r="U118" i="4"/>
  <c r="AV128" i="4"/>
  <c r="U128" i="4"/>
  <c r="AV35" i="4"/>
  <c r="U35" i="4"/>
  <c r="AV144" i="4"/>
  <c r="U144" i="4"/>
  <c r="U24" i="4"/>
  <c r="AV24" i="4"/>
  <c r="AV84" i="4"/>
  <c r="U84" i="4"/>
  <c r="AV10" i="4"/>
  <c r="U10" i="4"/>
  <c r="AV148" i="4"/>
  <c r="U148" i="4"/>
  <c r="AV51" i="4"/>
  <c r="U51" i="4"/>
  <c r="AV70" i="4"/>
  <c r="U70" i="4"/>
  <c r="AV138" i="4"/>
  <c r="U138" i="4"/>
  <c r="AV57" i="4"/>
  <c r="U57" i="4"/>
  <c r="U54" i="4"/>
  <c r="AV54" i="4"/>
  <c r="AV150" i="4"/>
  <c r="U150" i="4"/>
  <c r="AV80" i="4"/>
  <c r="U80" i="4"/>
  <c r="U142" i="4"/>
  <c r="AV142" i="4"/>
  <c r="AC7" i="5"/>
  <c r="Y135" i="5"/>
  <c r="X135" i="5"/>
  <c r="X175" i="5"/>
  <c r="Y175" i="5"/>
  <c r="Y156" i="5"/>
  <c r="X156" i="5"/>
  <c r="X112" i="5"/>
  <c r="Y112" i="5"/>
  <c r="Y527" i="5"/>
  <c r="X527" i="5"/>
  <c r="Y411" i="5"/>
  <c r="X411" i="5"/>
  <c r="X116" i="5"/>
  <c r="Y116" i="5"/>
  <c r="X544" i="5"/>
  <c r="Y544" i="5"/>
  <c r="X398" i="5"/>
  <c r="Y398" i="5"/>
  <c r="X483" i="5"/>
  <c r="Y483" i="5"/>
  <c r="Y66" i="5"/>
  <c r="X66" i="5"/>
  <c r="Y397" i="5"/>
  <c r="X397" i="5"/>
  <c r="X81" i="5"/>
  <c r="Y81" i="5"/>
  <c r="Y27" i="5"/>
  <c r="X27" i="5"/>
  <c r="X190" i="5"/>
  <c r="Y190" i="5"/>
  <c r="X520" i="5"/>
  <c r="Y520" i="5"/>
  <c r="X55" i="5"/>
  <c r="Y55" i="5"/>
  <c r="Y210" i="5"/>
  <c r="X210" i="5"/>
  <c r="Y417" i="5"/>
  <c r="X417" i="5"/>
  <c r="X384" i="5"/>
  <c r="Y384" i="5"/>
  <c r="X337" i="5"/>
  <c r="Y337" i="5"/>
  <c r="X195" i="5"/>
  <c r="Y195" i="5"/>
  <c r="X219" i="5"/>
  <c r="Y219" i="5"/>
  <c r="Y118" i="5"/>
  <c r="X118" i="5"/>
  <c r="X378" i="5"/>
  <c r="Y378" i="5"/>
  <c r="X546" i="5"/>
  <c r="Y546" i="5"/>
  <c r="X275" i="5"/>
  <c r="Y275" i="5"/>
  <c r="X280" i="5"/>
  <c r="Y280" i="5"/>
  <c r="X372" i="5"/>
  <c r="Y372" i="5"/>
  <c r="X143" i="5"/>
  <c r="Y143" i="5"/>
  <c r="X493" i="5"/>
  <c r="Y493" i="5"/>
  <c r="X516" i="5"/>
  <c r="Y516" i="5"/>
  <c r="X155" i="5"/>
  <c r="Y155" i="5"/>
  <c r="X419" i="5"/>
  <c r="Y419" i="5"/>
  <c r="Y498" i="5"/>
  <c r="X498" i="5"/>
  <c r="Y283" i="5"/>
  <c r="X283" i="5"/>
  <c r="Y341" i="5"/>
  <c r="X341" i="5"/>
  <c r="Y205" i="5"/>
  <c r="X205" i="5"/>
  <c r="X319" i="5"/>
  <c r="Y319" i="5"/>
  <c r="X274" i="5"/>
  <c r="Y274" i="5"/>
  <c r="X259" i="5"/>
  <c r="Y259" i="5"/>
  <c r="Y184" i="5"/>
  <c r="X184" i="5"/>
  <c r="Y365" i="5"/>
  <c r="X365" i="5"/>
  <c r="X130" i="5"/>
  <c r="Y130" i="5"/>
  <c r="Y353" i="5"/>
  <c r="X353" i="5"/>
  <c r="Y320" i="5"/>
  <c r="X320" i="5"/>
  <c r="X171" i="5"/>
  <c r="Y171" i="5"/>
  <c r="X45" i="5"/>
  <c r="Y45" i="5"/>
  <c r="Y86" i="5"/>
  <c r="X86" i="5"/>
  <c r="Y146" i="5"/>
  <c r="X146" i="5"/>
  <c r="X377" i="5"/>
  <c r="Y377" i="5"/>
  <c r="X286" i="5"/>
  <c r="Y286" i="5"/>
  <c r="X477" i="5"/>
  <c r="Y477" i="5"/>
  <c r="Y557" i="5"/>
  <c r="X557" i="5"/>
  <c r="Y383" i="5"/>
  <c r="X383" i="5"/>
  <c r="X21" i="5"/>
  <c r="Y21" i="5"/>
  <c r="Y73" i="5"/>
  <c r="X73" i="5"/>
  <c r="X39" i="5"/>
  <c r="Y39" i="5"/>
  <c r="X366" i="5"/>
  <c r="Y366" i="5"/>
  <c r="X328" i="5"/>
  <c r="Y328" i="5"/>
  <c r="Y306" i="5"/>
  <c r="X306" i="5"/>
  <c r="X125" i="5"/>
  <c r="Y125" i="5"/>
  <c r="Y71" i="5"/>
  <c r="X71" i="5"/>
  <c r="Y403" i="5"/>
  <c r="X403" i="5"/>
  <c r="X88" i="5"/>
  <c r="Y88" i="5"/>
  <c r="X304" i="5"/>
  <c r="Y304" i="5"/>
  <c r="X488" i="5"/>
  <c r="Y488" i="5"/>
  <c r="Y346" i="5"/>
  <c r="X346" i="5"/>
  <c r="X265" i="5"/>
  <c r="Y265" i="5"/>
  <c r="Y309" i="5"/>
  <c r="X309" i="5"/>
  <c r="Y85" i="5"/>
  <c r="X85" i="5"/>
  <c r="X459" i="5"/>
  <c r="Y459" i="5"/>
  <c r="Y442" i="5"/>
  <c r="X442" i="5"/>
  <c r="Y307" i="5"/>
  <c r="X307" i="5"/>
  <c r="X64" i="5"/>
  <c r="Y64" i="5"/>
  <c r="Y247" i="5"/>
  <c r="X247" i="5"/>
  <c r="X167" i="5"/>
  <c r="Y167" i="5"/>
  <c r="X465" i="5"/>
  <c r="Y465" i="5"/>
  <c r="Y435" i="5"/>
  <c r="X435" i="5"/>
  <c r="X420" i="5"/>
  <c r="Y420" i="5"/>
  <c r="Y47" i="5"/>
  <c r="X47" i="5"/>
  <c r="X235" i="5"/>
  <c r="Y235" i="5"/>
  <c r="X245" i="5"/>
  <c r="Y245" i="5"/>
  <c r="Y31" i="5"/>
  <c r="X31" i="5"/>
  <c r="X216" i="5"/>
  <c r="Y216" i="5"/>
  <c r="X204" i="5"/>
  <c r="Y204" i="5"/>
  <c r="X371" i="5"/>
  <c r="Y371" i="5"/>
  <c r="X117" i="5"/>
  <c r="Y117" i="5"/>
  <c r="Y486" i="5"/>
  <c r="X486" i="5"/>
  <c r="X358" i="5"/>
  <c r="Y358" i="5"/>
  <c r="X434" i="5"/>
  <c r="Y434" i="5"/>
  <c r="Y256" i="5"/>
  <c r="X256" i="5"/>
  <c r="Y454" i="5"/>
  <c r="X454" i="5"/>
  <c r="X44" i="5"/>
  <c r="Y44" i="5"/>
  <c r="X158" i="5"/>
  <c r="Y158" i="5"/>
  <c r="X537" i="5"/>
  <c r="Y537" i="5"/>
  <c r="Y453" i="5"/>
  <c r="X453" i="5"/>
  <c r="X423" i="5"/>
  <c r="Y423" i="5"/>
  <c r="X90" i="5"/>
  <c r="Y90" i="5"/>
  <c r="X154" i="5"/>
  <c r="Y154" i="5"/>
  <c r="X182" i="5"/>
  <c r="Y182" i="5"/>
  <c r="X508" i="5"/>
  <c r="Y508" i="5"/>
  <c r="Y87" i="5"/>
  <c r="X87" i="5"/>
  <c r="X375" i="5"/>
  <c r="Y375" i="5"/>
  <c r="Y474" i="5"/>
  <c r="X474" i="5"/>
  <c r="X380" i="5"/>
  <c r="Y380" i="5"/>
  <c r="Y473" i="5"/>
  <c r="X473" i="5"/>
  <c r="X409" i="5"/>
  <c r="Y409" i="5"/>
  <c r="Y327" i="5"/>
  <c r="X327" i="5"/>
  <c r="Y412" i="5"/>
  <c r="X412" i="5"/>
  <c r="Y314" i="5"/>
  <c r="X314" i="5"/>
  <c r="X540" i="5"/>
  <c r="Y540" i="5"/>
  <c r="Y52" i="5"/>
  <c r="X52" i="5"/>
  <c r="X438" i="5"/>
  <c r="Y438" i="5"/>
  <c r="X351" i="5"/>
  <c r="Y351" i="5"/>
  <c r="X278" i="5"/>
  <c r="Y278" i="5"/>
  <c r="Y142" i="5"/>
  <c r="X142" i="5"/>
  <c r="Y133" i="5"/>
  <c r="X133" i="5"/>
  <c r="X443" i="5"/>
  <c r="Y443" i="5"/>
  <c r="X84" i="5"/>
  <c r="Y84" i="5"/>
  <c r="X414" i="5"/>
  <c r="Y414" i="5"/>
  <c r="Y552" i="5"/>
  <c r="X552" i="5"/>
  <c r="Y422" i="5"/>
  <c r="X422" i="5"/>
  <c r="Y42" i="5"/>
  <c r="X42" i="5"/>
  <c r="X144" i="5"/>
  <c r="Y144" i="5"/>
  <c r="Y297" i="5"/>
  <c r="X297" i="5"/>
  <c r="X293" i="5"/>
  <c r="Y293" i="5"/>
  <c r="X207" i="5"/>
  <c r="Y207" i="5"/>
  <c r="Y497" i="5"/>
  <c r="X497" i="5"/>
  <c r="X239" i="5"/>
  <c r="Y239" i="5"/>
  <c r="X305" i="5"/>
  <c r="Y305" i="5"/>
  <c r="Y212" i="5"/>
  <c r="X212" i="5"/>
  <c r="X511" i="5"/>
  <c r="Y511" i="5"/>
  <c r="Y262" i="5"/>
  <c r="X262" i="5"/>
  <c r="X410" i="5"/>
  <c r="Y410" i="5"/>
  <c r="X436" i="5"/>
  <c r="Y436" i="5"/>
  <c r="AP124" i="5" l="1"/>
  <c r="BI124" i="5" s="1"/>
  <c r="AP31" i="5"/>
  <c r="BI31" i="5" s="1"/>
  <c r="AP103" i="5"/>
  <c r="AP49" i="5"/>
  <c r="AP128" i="5"/>
  <c r="AQ128" i="5" s="1"/>
  <c r="AP343" i="5"/>
  <c r="AQ343" i="5" s="1"/>
  <c r="AP456" i="5"/>
  <c r="AQ456" i="5" s="1"/>
  <c r="AP178" i="5"/>
  <c r="AR178" i="5" s="1"/>
  <c r="AP112" i="5"/>
  <c r="BI112" i="5" s="1"/>
  <c r="AP482" i="5"/>
  <c r="BI482" i="5" s="1"/>
  <c r="AP535" i="5"/>
  <c r="AQ535" i="5" s="1"/>
  <c r="AP140" i="5"/>
  <c r="AQ140" i="5" s="1"/>
  <c r="AP270" i="5"/>
  <c r="AR270" i="5" s="1"/>
  <c r="AP338" i="5"/>
  <c r="AR338" i="5" s="1"/>
  <c r="AP193" i="5"/>
  <c r="AQ193" i="5" s="1"/>
  <c r="AP80" i="5"/>
  <c r="AQ80" i="5" s="1"/>
  <c r="AP418" i="5"/>
  <c r="AR418" i="5" s="1"/>
  <c r="AP250" i="5"/>
  <c r="AR250" i="5" s="1"/>
  <c r="AP399" i="5"/>
  <c r="BI399" i="5" s="1"/>
  <c r="AP368" i="5"/>
  <c r="AQ368" i="5" s="1"/>
  <c r="AP228" i="5"/>
  <c r="AR228" i="5" s="1"/>
  <c r="AP183" i="5"/>
  <c r="BI183" i="5" s="1"/>
  <c r="AP472" i="5"/>
  <c r="BI472" i="5" s="1"/>
  <c r="AP363" i="5"/>
  <c r="AR363" i="5" s="1"/>
  <c r="AP117" i="5"/>
  <c r="AR117" i="5" s="1"/>
  <c r="AP20" i="5"/>
  <c r="AQ20" i="5" s="1"/>
  <c r="AP526" i="5"/>
  <c r="AR526" i="5" s="1"/>
  <c r="AP70" i="5"/>
  <c r="AR70" i="5" s="1"/>
  <c r="AP321" i="5"/>
  <c r="AQ321" i="5" s="1"/>
  <c r="AP407" i="5"/>
  <c r="BI407" i="5" s="1"/>
  <c r="AP306" i="5"/>
  <c r="BI306" i="5" s="1"/>
  <c r="AP235" i="5"/>
  <c r="BI235" i="5" s="1"/>
  <c r="AP375" i="5"/>
  <c r="AQ375" i="5" s="1"/>
  <c r="AP518" i="5"/>
  <c r="BI518" i="5" s="1"/>
  <c r="AP541" i="5"/>
  <c r="BI541" i="5" s="1"/>
  <c r="AP224" i="5"/>
  <c r="AR224" i="5" s="1"/>
  <c r="AP243" i="5"/>
  <c r="AQ243" i="5" s="1"/>
  <c r="AP442" i="5"/>
  <c r="AR442" i="5" s="1"/>
  <c r="AP21" i="5"/>
  <c r="AR21" i="5" s="1"/>
  <c r="AP331" i="5"/>
  <c r="BI331" i="5" s="1"/>
  <c r="AP184" i="5"/>
  <c r="BI184" i="5" s="1"/>
  <c r="AP473" i="5"/>
  <c r="BI473" i="5" s="1"/>
  <c r="AP286" i="5"/>
  <c r="BI286" i="5" s="1"/>
  <c r="AP253" i="5"/>
  <c r="AQ253" i="5" s="1"/>
  <c r="AP431" i="5"/>
  <c r="BI431" i="5" s="1"/>
  <c r="AP171" i="5"/>
  <c r="AQ171" i="5" s="1"/>
  <c r="AP101" i="5"/>
  <c r="BI101" i="5" s="1"/>
  <c r="AP344" i="5"/>
  <c r="AQ344" i="5" s="1"/>
  <c r="AP483" i="5"/>
  <c r="BI483" i="5" s="1"/>
  <c r="AP108" i="5"/>
  <c r="AQ108" i="5" s="1"/>
  <c r="AP449" i="5"/>
  <c r="AQ449" i="5" s="1"/>
  <c r="AP285" i="5"/>
  <c r="AQ285" i="5" s="1"/>
  <c r="AP336" i="5"/>
  <c r="AQ336" i="5" s="1"/>
  <c r="AP229" i="5"/>
  <c r="AR229" i="5" s="1"/>
  <c r="AP43" i="5"/>
  <c r="AR43" i="5" s="1"/>
  <c r="AP52" i="5"/>
  <c r="AR52" i="5" s="1"/>
  <c r="AP367" i="5"/>
  <c r="AQ367" i="5" s="1"/>
  <c r="AP406" i="5"/>
  <c r="BI406" i="5" s="1"/>
  <c r="AP471" i="5"/>
  <c r="AR471" i="5" s="1"/>
  <c r="AP476" i="5"/>
  <c r="AR476" i="5" s="1"/>
  <c r="AP397" i="5"/>
  <c r="AR397" i="5" s="1"/>
  <c r="AP23" i="5"/>
  <c r="BI23" i="5" s="1"/>
  <c r="AP202" i="5"/>
  <c r="AQ202" i="5" s="1"/>
  <c r="AP515" i="5"/>
  <c r="AQ515" i="5" s="1"/>
  <c r="AP521" i="5"/>
  <c r="AR521" i="5" s="1"/>
  <c r="AP132" i="5"/>
  <c r="AR132" i="5" s="1"/>
  <c r="AP358" i="5"/>
  <c r="AQ358" i="5" s="1"/>
  <c r="AP466" i="5"/>
  <c r="AQ466" i="5" s="1"/>
  <c r="AP220" i="5"/>
  <c r="BI220" i="5" s="1"/>
  <c r="AP292" i="5"/>
  <c r="AQ292" i="5" s="1"/>
  <c r="AP414" i="5"/>
  <c r="AR414" i="5" s="1"/>
  <c r="AP105" i="5"/>
  <c r="AQ105" i="5" s="1"/>
  <c r="AP119" i="5"/>
  <c r="BI119" i="5" s="1"/>
  <c r="AP181" i="5"/>
  <c r="AQ181" i="5" s="1"/>
  <c r="AP259" i="5"/>
  <c r="AQ259" i="5" s="1"/>
  <c r="AP64" i="5"/>
  <c r="AQ64" i="5" s="1"/>
  <c r="AP213" i="5"/>
  <c r="AQ213" i="5" s="1"/>
  <c r="AP365" i="5"/>
  <c r="AR365" i="5" s="1"/>
  <c r="AP468" i="5"/>
  <c r="AR468" i="5" s="1"/>
  <c r="AP92" i="5"/>
  <c r="AQ92" i="5" s="1"/>
  <c r="AP160" i="5"/>
  <c r="BI160" i="5" s="1"/>
  <c r="AP216" i="5"/>
  <c r="BI216" i="5" s="1"/>
  <c r="AP241" i="5"/>
  <c r="AR241" i="5" s="1"/>
  <c r="AP138" i="5"/>
  <c r="BI138" i="5" s="1"/>
  <c r="AP391" i="5"/>
  <c r="AR391" i="5" s="1"/>
  <c r="AP111" i="5"/>
  <c r="BI111" i="5" s="1"/>
  <c r="AP96" i="5"/>
  <c r="AQ96" i="5" s="1"/>
  <c r="AP143" i="5"/>
  <c r="AQ143" i="5" s="1"/>
  <c r="AP231" i="5"/>
  <c r="AQ231" i="5" s="1"/>
  <c r="AP330" i="5"/>
  <c r="AQ330" i="5" s="1"/>
  <c r="AP304" i="5"/>
  <c r="BI304" i="5" s="1"/>
  <c r="AP421" i="5"/>
  <c r="AQ421" i="5" s="1"/>
  <c r="AP8" i="5"/>
  <c r="AQ8" i="5" s="1"/>
  <c r="AP432" i="5"/>
  <c r="AR432" i="5" s="1"/>
  <c r="AP289" i="5"/>
  <c r="BI289" i="5" s="1"/>
  <c r="AP287" i="5"/>
  <c r="AQ287" i="5" s="1"/>
  <c r="AP146" i="5"/>
  <c r="AQ146" i="5" s="1"/>
  <c r="AP379" i="5"/>
  <c r="BI379" i="5" s="1"/>
  <c r="AP298" i="5"/>
  <c r="AQ298" i="5" s="1"/>
  <c r="AP141" i="5"/>
  <c r="AR141" i="5" s="1"/>
  <c r="AP227" i="5"/>
  <c r="AQ227" i="5" s="1"/>
  <c r="AP438" i="5"/>
  <c r="BI438" i="5" s="1"/>
  <c r="AP274" i="5"/>
  <c r="AR274" i="5" s="1"/>
  <c r="AP282" i="5"/>
  <c r="AR282" i="5" s="1"/>
  <c r="AP339" i="5"/>
  <c r="BI339" i="5" s="1"/>
  <c r="AP98" i="5"/>
  <c r="BI98" i="5" s="1"/>
  <c r="AP546" i="5"/>
  <c r="BI546" i="5" s="1"/>
  <c r="AP192" i="5"/>
  <c r="AQ192" i="5" s="1"/>
  <c r="AP172" i="5"/>
  <c r="BI172" i="5" s="1"/>
  <c r="AP467" i="5"/>
  <c r="BI467" i="5" s="1"/>
  <c r="AP106" i="5"/>
  <c r="AQ106" i="5" s="1"/>
  <c r="AP244" i="5"/>
  <c r="AR244" i="5" s="1"/>
  <c r="AP356" i="5"/>
  <c r="BI356" i="5" s="1"/>
  <c r="AP345" i="5"/>
  <c r="BI345" i="5" s="1"/>
  <c r="AP487" i="5"/>
  <c r="AR487" i="5" s="1"/>
  <c r="AP512" i="5"/>
  <c r="AQ512" i="5" s="1"/>
  <c r="AP346" i="5"/>
  <c r="AQ346" i="5" s="1"/>
  <c r="AP170" i="5"/>
  <c r="BI170" i="5" s="1"/>
  <c r="AP481" i="5"/>
  <c r="AQ481" i="5" s="1"/>
  <c r="AP400" i="5"/>
  <c r="AR400" i="5" s="1"/>
  <c r="AP207" i="5"/>
  <c r="BI207" i="5" s="1"/>
  <c r="AP436" i="5"/>
  <c r="BI436" i="5" s="1"/>
  <c r="AP525" i="5"/>
  <c r="AQ525" i="5" s="1"/>
  <c r="AP99" i="5"/>
  <c r="AR99" i="5" s="1"/>
  <c r="AP139" i="5"/>
  <c r="BI139" i="5" s="1"/>
  <c r="AP277" i="5"/>
  <c r="AQ277" i="5" s="1"/>
  <c r="AP135" i="5"/>
  <c r="BI135" i="5" s="1"/>
  <c r="AP528" i="5"/>
  <c r="AR528" i="5" s="1"/>
  <c r="AP129" i="5"/>
  <c r="AQ129" i="5" s="1"/>
  <c r="AP86" i="5"/>
  <c r="AR86" i="5" s="1"/>
  <c r="AP197" i="5"/>
  <c r="AQ197" i="5" s="1"/>
  <c r="AP508" i="5"/>
  <c r="AQ508" i="5" s="1"/>
  <c r="AP266" i="5"/>
  <c r="AR266" i="5" s="1"/>
  <c r="AP65" i="5"/>
  <c r="AR65" i="5" s="1"/>
  <c r="AP291" i="5"/>
  <c r="AQ291" i="5" s="1"/>
  <c r="AP493" i="5"/>
  <c r="AR493" i="5" s="1"/>
  <c r="AP74" i="5"/>
  <c r="AR74" i="5" s="1"/>
  <c r="AP82" i="5"/>
  <c r="AQ82" i="5" s="1"/>
  <c r="AP478" i="5"/>
  <c r="AQ478" i="5" s="1"/>
  <c r="AP254" i="5"/>
  <c r="BI254" i="5" s="1"/>
  <c r="AP420" i="5"/>
  <c r="BI420" i="5" s="1"/>
  <c r="AP380" i="5"/>
  <c r="AQ380" i="5" s="1"/>
  <c r="AP511" i="5"/>
  <c r="AR511" i="5" s="1"/>
  <c r="AP376" i="5"/>
  <c r="AQ376" i="5" s="1"/>
  <c r="AP357" i="5"/>
  <c r="AR357" i="5" s="1"/>
  <c r="AP275" i="5"/>
  <c r="BI275" i="5" s="1"/>
  <c r="AP261" i="5"/>
  <c r="AQ261" i="5" s="1"/>
  <c r="AP237" i="5"/>
  <c r="AQ237" i="5" s="1"/>
  <c r="AP469" i="5"/>
  <c r="BI469" i="5" s="1"/>
  <c r="AP134" i="5"/>
  <c r="BI134" i="5" s="1"/>
  <c r="AP263" i="5"/>
  <c r="AR263" i="5" s="1"/>
  <c r="AP387" i="5"/>
  <c r="AQ387" i="5" s="1"/>
  <c r="AP109" i="5"/>
  <c r="AR109" i="5" s="1"/>
  <c r="AP522" i="5"/>
  <c r="BI522" i="5" s="1"/>
  <c r="AP470" i="5"/>
  <c r="BI470" i="5" s="1"/>
  <c r="AP203" i="5"/>
  <c r="AQ203" i="5" s="1"/>
  <c r="AP133" i="5"/>
  <c r="AR133" i="5" s="1"/>
  <c r="AP40" i="5"/>
  <c r="AQ40" i="5" s="1"/>
  <c r="AP173" i="5"/>
  <c r="AR173" i="5" s="1"/>
  <c r="AP191" i="5"/>
  <c r="AQ191" i="5" s="1"/>
  <c r="AP517" i="5"/>
  <c r="BI517" i="5" s="1"/>
  <c r="AP256" i="5"/>
  <c r="AQ256" i="5" s="1"/>
  <c r="AP26" i="5"/>
  <c r="BI26" i="5" s="1"/>
  <c r="AP88" i="5"/>
  <c r="AR88" i="5" s="1"/>
  <c r="AP147" i="5"/>
  <c r="BI147" i="5" s="1"/>
  <c r="AP223" i="5"/>
  <c r="BI223" i="5" s="1"/>
  <c r="AP246" i="5"/>
  <c r="AR246" i="5" s="1"/>
  <c r="AP222" i="5"/>
  <c r="BI222" i="5" s="1"/>
  <c r="AP506" i="5"/>
  <c r="AQ506" i="5" s="1"/>
  <c r="AP157" i="5"/>
  <c r="AR157" i="5" s="1"/>
  <c r="AP175" i="5"/>
  <c r="BI175" i="5" s="1"/>
  <c r="AP538" i="5"/>
  <c r="BI538" i="5" s="1"/>
  <c r="AP398" i="5"/>
  <c r="AQ398" i="5" s="1"/>
  <c r="AP53" i="5"/>
  <c r="AR53" i="5" s="1"/>
  <c r="AP215" i="5"/>
  <c r="BI215" i="5" s="1"/>
  <c r="AP83" i="5"/>
  <c r="AR83" i="5" s="1"/>
  <c r="AP27" i="5"/>
  <c r="BI27" i="5" s="1"/>
  <c r="AP480" i="5"/>
  <c r="AQ480" i="5" s="1"/>
  <c r="AP536" i="5"/>
  <c r="AR536" i="5" s="1"/>
  <c r="AP543" i="5"/>
  <c r="AQ543" i="5" s="1"/>
  <c r="AP519" i="5"/>
  <c r="BI519" i="5" s="1"/>
  <c r="AP490" i="5"/>
  <c r="BI490" i="5" s="1"/>
  <c r="AP496" i="5"/>
  <c r="AQ496" i="5" s="1"/>
  <c r="AP477" i="5"/>
  <c r="AQ477" i="5" s="1"/>
  <c r="AP534" i="5"/>
  <c r="BI534" i="5" s="1"/>
  <c r="AP516" i="5"/>
  <c r="AQ516" i="5" s="1"/>
  <c r="AP489" i="5"/>
  <c r="BI489" i="5" s="1"/>
  <c r="AP560" i="5"/>
  <c r="AQ560" i="5" s="1"/>
  <c r="AP550" i="5"/>
  <c r="BI550" i="5" s="1"/>
  <c r="AP507" i="5"/>
  <c r="AQ507" i="5" s="1"/>
  <c r="AP95" i="5"/>
  <c r="AR95" i="5" s="1"/>
  <c r="AP34" i="5"/>
  <c r="AQ34" i="5" s="1"/>
  <c r="AP198" i="5"/>
  <c r="AQ198" i="5" s="1"/>
  <c r="AP57" i="5"/>
  <c r="BI57" i="5" s="1"/>
  <c r="AP341" i="5"/>
  <c r="AQ341" i="5" s="1"/>
  <c r="AP182" i="5"/>
  <c r="BI182" i="5" s="1"/>
  <c r="AP303" i="5"/>
  <c r="AR303" i="5" s="1"/>
  <c r="AP463" i="5"/>
  <c r="AR463" i="5" s="1"/>
  <c r="AP150" i="5"/>
  <c r="AR150" i="5" s="1"/>
  <c r="AP309" i="5"/>
  <c r="BI309" i="5" s="1"/>
  <c r="AP317" i="5"/>
  <c r="AQ317" i="5" s="1"/>
  <c r="AP302" i="5"/>
  <c r="AR302" i="5" s="1"/>
  <c r="AP533" i="5"/>
  <c r="AR533" i="5" s="1"/>
  <c r="AP194" i="5"/>
  <c r="AR194" i="5" s="1"/>
  <c r="AP465" i="5"/>
  <c r="BI465" i="5" s="1"/>
  <c r="AP131" i="5"/>
  <c r="BI131" i="5" s="1"/>
  <c r="AP445" i="5"/>
  <c r="BI445" i="5" s="1"/>
  <c r="AP29" i="5"/>
  <c r="BI29" i="5" s="1"/>
  <c r="AP395" i="5"/>
  <c r="BI395" i="5" s="1"/>
  <c r="AP378" i="5"/>
  <c r="AR378" i="5" s="1"/>
  <c r="AP293" i="5"/>
  <c r="AR293" i="5" s="1"/>
  <c r="AP81" i="5"/>
  <c r="BI81" i="5" s="1"/>
  <c r="AP130" i="5"/>
  <c r="AQ130" i="5" s="1"/>
  <c r="AP121" i="5"/>
  <c r="BI121" i="5" s="1"/>
  <c r="AP236" i="5"/>
  <c r="BI236" i="5" s="1"/>
  <c r="AP439" i="5"/>
  <c r="AQ439" i="5" s="1"/>
  <c r="AP158" i="5"/>
  <c r="AR158" i="5" s="1"/>
  <c r="AP453" i="5"/>
  <c r="BI453" i="5" s="1"/>
  <c r="AP212" i="5"/>
  <c r="AR212" i="5" s="1"/>
  <c r="AP370" i="5"/>
  <c r="BI370" i="5" s="1"/>
  <c r="AP234" i="5"/>
  <c r="BI234" i="5" s="1"/>
  <c r="AP382" i="5"/>
  <c r="AQ382" i="5" s="1"/>
  <c r="AP509" i="5"/>
  <c r="BI509" i="5" s="1"/>
  <c r="AP35" i="5"/>
  <c r="AR35" i="5" s="1"/>
  <c r="AP238" i="5"/>
  <c r="AR238" i="5" s="1"/>
  <c r="AP557" i="5"/>
  <c r="AQ557" i="5" s="1"/>
  <c r="AP230" i="5"/>
  <c r="AQ230" i="5" s="1"/>
  <c r="AP174" i="5"/>
  <c r="BI174" i="5" s="1"/>
  <c r="AP354" i="5"/>
  <c r="AR354" i="5" s="1"/>
  <c r="AP450" i="5"/>
  <c r="AQ450" i="5" s="1"/>
  <c r="AP50" i="5"/>
  <c r="AQ50" i="5" s="1"/>
  <c r="AP269" i="5"/>
  <c r="AR269" i="5" s="1"/>
  <c r="AP426" i="5"/>
  <c r="AQ426" i="5" s="1"/>
  <c r="AP474" i="5"/>
  <c r="AR474" i="5" s="1"/>
  <c r="AP385" i="5"/>
  <c r="BI385" i="5" s="1"/>
  <c r="AP48" i="5"/>
  <c r="BI48" i="5" s="1"/>
  <c r="AP279" i="5"/>
  <c r="AR279" i="5" s="1"/>
  <c r="AP361" i="5"/>
  <c r="AQ361" i="5" s="1"/>
  <c r="AP63" i="5"/>
  <c r="AR63" i="5" s="1"/>
  <c r="AP424" i="5"/>
  <c r="AQ424" i="5" s="1"/>
  <c r="AP319" i="5"/>
  <c r="BI319" i="5" s="1"/>
  <c r="AP19" i="5"/>
  <c r="BI19" i="5" s="1"/>
  <c r="AP122" i="5"/>
  <c r="BI122" i="5" s="1"/>
  <c r="AP310" i="5"/>
  <c r="AQ310" i="5" s="1"/>
  <c r="AP393" i="5"/>
  <c r="AQ393" i="5" s="1"/>
  <c r="AP305" i="5"/>
  <c r="BI305" i="5" s="1"/>
  <c r="AP499" i="5"/>
  <c r="BI499" i="5" s="1"/>
  <c r="AP217" i="5"/>
  <c r="BI217" i="5" s="1"/>
  <c r="AP273" i="5"/>
  <c r="BI273" i="5" s="1"/>
  <c r="AP332" i="5"/>
  <c r="AR332" i="5" s="1"/>
  <c r="AP226" i="5"/>
  <c r="AQ226" i="5" s="1"/>
  <c r="AP59" i="5"/>
  <c r="AQ59" i="5" s="1"/>
  <c r="AP351" i="5"/>
  <c r="AQ351" i="5" s="1"/>
  <c r="AP221" i="5"/>
  <c r="BI221" i="5" s="1"/>
  <c r="AP433" i="5"/>
  <c r="AR433" i="5" s="1"/>
  <c r="AP87" i="5"/>
  <c r="BI87" i="5" s="1"/>
  <c r="AP403" i="5"/>
  <c r="BI403" i="5" s="1"/>
  <c r="AP201" i="5"/>
  <c r="AR201" i="5" s="1"/>
  <c r="AP268" i="5"/>
  <c r="AQ268" i="5" s="1"/>
  <c r="AP408" i="5"/>
  <c r="BI408" i="5" s="1"/>
  <c r="AP537" i="5"/>
  <c r="AR537" i="5" s="1"/>
  <c r="AP208" i="5"/>
  <c r="BI208" i="5" s="1"/>
  <c r="AP412" i="5"/>
  <c r="BI412" i="5" s="1"/>
  <c r="AP245" i="5"/>
  <c r="BI245" i="5" s="1"/>
  <c r="AP233" i="5"/>
  <c r="AR233" i="5" s="1"/>
  <c r="AP149" i="5"/>
  <c r="BI149" i="5" s="1"/>
  <c r="AP545" i="5"/>
  <c r="AQ545" i="5" s="1"/>
  <c r="AP272" i="5"/>
  <c r="AQ272" i="5" s="1"/>
  <c r="AP373" i="5"/>
  <c r="BI373" i="5" s="1"/>
  <c r="AP44" i="5"/>
  <c r="AR44" i="5" s="1"/>
  <c r="AP137" i="5"/>
  <c r="AR137" i="5" s="1"/>
  <c r="AP67" i="5"/>
  <c r="AQ67" i="5" s="1"/>
  <c r="AP464" i="5"/>
  <c r="AR464" i="5" s="1"/>
  <c r="AP502" i="5"/>
  <c r="AR502" i="5" s="1"/>
  <c r="AP423" i="5"/>
  <c r="AR423" i="5" s="1"/>
  <c r="AP114" i="5"/>
  <c r="BI114" i="5" s="1"/>
  <c r="AP214" i="5"/>
  <c r="AR214" i="5" s="1"/>
  <c r="AP428" i="5"/>
  <c r="AQ428" i="5" s="1"/>
  <c r="AP42" i="5"/>
  <c r="AR42" i="5" s="1"/>
  <c r="AP126" i="5"/>
  <c r="AQ126" i="5" s="1"/>
  <c r="AP283" i="5"/>
  <c r="BI283" i="5" s="1"/>
  <c r="AP417" i="5"/>
  <c r="BI417" i="5" s="1"/>
  <c r="AP374" i="5"/>
  <c r="AR374" i="5" s="1"/>
  <c r="AP190" i="5"/>
  <c r="AR190" i="5" s="1"/>
  <c r="AP36" i="5"/>
  <c r="BI36" i="5" s="1"/>
  <c r="AP389" i="5"/>
  <c r="AQ389" i="5" s="1"/>
  <c r="AP486" i="5"/>
  <c r="AR486" i="5" s="1"/>
  <c r="AP257" i="5"/>
  <c r="BI257" i="5" s="1"/>
  <c r="AP451" i="5"/>
  <c r="BI451" i="5" s="1"/>
  <c r="AP548" i="5"/>
  <c r="AQ548" i="5" s="1"/>
  <c r="AP100" i="5"/>
  <c r="AR100" i="5" s="1"/>
  <c r="AP153" i="5"/>
  <c r="AQ153" i="5" s="1"/>
  <c r="AP189" i="5"/>
  <c r="BI189" i="5" s="1"/>
  <c r="AP440" i="5"/>
  <c r="BI440" i="5" s="1"/>
  <c r="AP461" i="5"/>
  <c r="AQ461" i="5" s="1"/>
  <c r="X80" i="4"/>
  <c r="AJ80" i="4" s="1"/>
  <c r="X91" i="4"/>
  <c r="AJ91" i="4" s="1"/>
  <c r="AP10" i="5"/>
  <c r="BI10" i="5" s="1"/>
  <c r="X99" i="4"/>
  <c r="AJ99" i="4" s="1"/>
  <c r="X71" i="4"/>
  <c r="AJ71" i="4" s="1"/>
  <c r="X138" i="4"/>
  <c r="AJ138" i="4" s="1"/>
  <c r="X68" i="4"/>
  <c r="AJ68" i="4" s="1"/>
  <c r="X115" i="4"/>
  <c r="AJ115" i="4" s="1"/>
  <c r="X70" i="4"/>
  <c r="AJ70" i="4" s="1"/>
  <c r="X72" i="4"/>
  <c r="AJ72" i="4" s="1"/>
  <c r="X132" i="4"/>
  <c r="AJ132" i="4" s="1"/>
  <c r="X41" i="4"/>
  <c r="AJ41" i="4" s="1"/>
  <c r="X120" i="4"/>
  <c r="AJ120" i="4" s="1"/>
  <c r="X107" i="4"/>
  <c r="AJ107" i="4" s="1"/>
  <c r="X150" i="4"/>
  <c r="AJ150" i="4" s="1"/>
  <c r="X83" i="4"/>
  <c r="AJ83" i="4" s="1"/>
  <c r="X84" i="4"/>
  <c r="AJ84" i="4" s="1"/>
  <c r="X100" i="4"/>
  <c r="AJ100" i="4" s="1"/>
  <c r="X119" i="4"/>
  <c r="AJ119" i="4" s="1"/>
  <c r="BE10" i="5"/>
  <c r="BD10" i="5"/>
  <c r="X106" i="4"/>
  <c r="AJ106" i="4" s="1"/>
  <c r="Y106" i="4"/>
  <c r="AR106" i="4" s="1"/>
  <c r="X78" i="4"/>
  <c r="AJ78" i="4" s="1"/>
  <c r="Y78" i="4"/>
  <c r="AR78" i="4" s="1"/>
  <c r="Y62" i="4"/>
  <c r="AR62" i="4" s="1"/>
  <c r="X155" i="4"/>
  <c r="AJ155" i="4" s="1"/>
  <c r="Y155" i="4"/>
  <c r="AR155" i="4" s="1"/>
  <c r="X152" i="4"/>
  <c r="AJ152" i="4" s="1"/>
  <c r="Y152" i="4"/>
  <c r="AR152" i="4" s="1"/>
  <c r="X127" i="4"/>
  <c r="AJ127" i="4" s="1"/>
  <c r="Y127" i="4"/>
  <c r="AR127" i="4" s="1"/>
  <c r="X77" i="4"/>
  <c r="AJ77" i="4" s="1"/>
  <c r="Y77" i="4"/>
  <c r="AR77" i="4" s="1"/>
  <c r="X149" i="4"/>
  <c r="AJ149" i="4" s="1"/>
  <c r="Y149" i="4"/>
  <c r="AR149" i="4" s="1"/>
  <c r="X134" i="4"/>
  <c r="AJ134" i="4" s="1"/>
  <c r="Y134" i="4"/>
  <c r="AR134" i="4" s="1"/>
  <c r="X114" i="4"/>
  <c r="AJ114" i="4" s="1"/>
  <c r="Y114" i="4"/>
  <c r="AR114" i="4" s="1"/>
  <c r="X76" i="4"/>
  <c r="AJ76" i="4" s="1"/>
  <c r="Y76" i="4"/>
  <c r="AR76" i="4" s="1"/>
  <c r="X89" i="4"/>
  <c r="AJ89" i="4" s="1"/>
  <c r="Y89" i="4"/>
  <c r="AR89" i="4" s="1"/>
  <c r="Y61" i="4"/>
  <c r="AR61" i="4" s="1"/>
  <c r="X145" i="4"/>
  <c r="AJ145" i="4" s="1"/>
  <c r="Y145" i="4"/>
  <c r="AR145" i="4" s="1"/>
  <c r="X94" i="4"/>
  <c r="AJ94" i="4" s="1"/>
  <c r="Y94" i="4"/>
  <c r="AR94" i="4" s="1"/>
  <c r="X121" i="4"/>
  <c r="AJ121" i="4" s="1"/>
  <c r="Y121" i="4"/>
  <c r="AR121" i="4" s="1"/>
  <c r="X97" i="4"/>
  <c r="AJ97" i="4" s="1"/>
  <c r="Y97" i="4"/>
  <c r="AR97" i="4" s="1"/>
  <c r="AP69" i="5"/>
  <c r="AR69" i="5" s="1"/>
  <c r="AP297" i="5"/>
  <c r="AR297" i="5" s="1"/>
  <c r="AP152" i="5"/>
  <c r="AR152" i="5" s="1"/>
  <c r="AP180" i="5"/>
  <c r="AR180" i="5" s="1"/>
  <c r="AP51" i="5"/>
  <c r="AQ51" i="5" s="1"/>
  <c r="AP520" i="5"/>
  <c r="BI520" i="5" s="1"/>
  <c r="AP388" i="5"/>
  <c r="AQ388" i="5" s="1"/>
  <c r="AP479" i="5"/>
  <c r="BI479" i="5" s="1"/>
  <c r="AP549" i="5"/>
  <c r="BI549" i="5" s="1"/>
  <c r="AP434" i="5"/>
  <c r="AQ434" i="5" s="1"/>
  <c r="AP323" i="5"/>
  <c r="BI323" i="5" s="1"/>
  <c r="AP110" i="5"/>
  <c r="AQ110" i="5" s="1"/>
  <c r="AP435" i="5"/>
  <c r="BI435" i="5" s="1"/>
  <c r="AP510" i="5"/>
  <c r="AQ510" i="5" s="1"/>
  <c r="AP443" i="5"/>
  <c r="AR443" i="5" s="1"/>
  <c r="AP104" i="5"/>
  <c r="AQ104" i="5" s="1"/>
  <c r="AP364" i="5"/>
  <c r="BI364" i="5" s="1"/>
  <c r="AP281" i="5"/>
  <c r="AR281" i="5" s="1"/>
  <c r="X140" i="4"/>
  <c r="AJ140" i="4" s="1"/>
  <c r="Y140" i="4"/>
  <c r="AR140" i="4" s="1"/>
  <c r="X136" i="4"/>
  <c r="AJ136" i="4" s="1"/>
  <c r="Y136" i="4"/>
  <c r="AR136" i="4" s="1"/>
  <c r="X111" i="4"/>
  <c r="AJ111" i="4" s="1"/>
  <c r="Y111" i="4"/>
  <c r="AR111" i="4" s="1"/>
  <c r="X73" i="4"/>
  <c r="AJ73" i="4" s="1"/>
  <c r="Y73" i="4"/>
  <c r="AR73" i="4" s="1"/>
  <c r="X156" i="4"/>
  <c r="AJ156" i="4" s="1"/>
  <c r="Y156" i="4"/>
  <c r="AR156" i="4" s="1"/>
  <c r="X66" i="4"/>
  <c r="AJ66" i="4" s="1"/>
  <c r="Y66" i="4"/>
  <c r="AR66" i="4" s="1"/>
  <c r="X112" i="4"/>
  <c r="AJ112" i="4" s="1"/>
  <c r="Y112" i="4"/>
  <c r="AR112" i="4" s="1"/>
  <c r="X131" i="4"/>
  <c r="AJ131" i="4" s="1"/>
  <c r="Y131" i="4"/>
  <c r="AR131" i="4" s="1"/>
  <c r="X118" i="4"/>
  <c r="AJ118" i="4" s="1"/>
  <c r="Y118" i="4"/>
  <c r="AR118" i="4" s="1"/>
  <c r="X82" i="4"/>
  <c r="AJ82" i="4" s="1"/>
  <c r="Y82" i="4"/>
  <c r="AR82" i="4" s="1"/>
  <c r="X95" i="4"/>
  <c r="AJ95" i="4" s="1"/>
  <c r="Y95" i="4"/>
  <c r="AR95" i="4" s="1"/>
  <c r="Y56" i="4"/>
  <c r="AR56" i="4" s="1"/>
  <c r="X141" i="4"/>
  <c r="AJ141" i="4" s="1"/>
  <c r="Y141" i="4"/>
  <c r="AR141" i="4" s="1"/>
  <c r="X101" i="4"/>
  <c r="AJ101" i="4" s="1"/>
  <c r="Y101" i="4"/>
  <c r="AR101" i="4" s="1"/>
  <c r="Y59" i="4"/>
  <c r="AR59" i="4" s="1"/>
  <c r="X86" i="4"/>
  <c r="AJ86" i="4" s="1"/>
  <c r="Y86" i="4"/>
  <c r="AR86" i="4" s="1"/>
  <c r="X90" i="4"/>
  <c r="AJ90" i="4" s="1"/>
  <c r="Y90" i="4"/>
  <c r="AR90" i="4" s="1"/>
  <c r="X81" i="4"/>
  <c r="AJ81" i="4" s="1"/>
  <c r="Y81" i="4"/>
  <c r="AR81" i="4" s="1"/>
  <c r="X69" i="4"/>
  <c r="AJ69" i="4" s="1"/>
  <c r="Y69" i="4"/>
  <c r="AR69" i="4" s="1"/>
  <c r="Y63" i="4"/>
  <c r="AR63" i="4" s="1"/>
  <c r="X108" i="4"/>
  <c r="AJ108" i="4" s="1"/>
  <c r="Y108" i="4"/>
  <c r="AR108" i="4" s="1"/>
  <c r="X122" i="4"/>
  <c r="AJ122" i="4" s="1"/>
  <c r="Y122" i="4"/>
  <c r="AR122" i="4" s="1"/>
  <c r="AP355" i="5"/>
  <c r="AQ355" i="5" s="1"/>
  <c r="AP475" i="5"/>
  <c r="AQ475" i="5" s="1"/>
  <c r="AP155" i="5"/>
  <c r="AQ155" i="5" s="1"/>
  <c r="AP492" i="5"/>
  <c r="AR492" i="5" s="1"/>
  <c r="AP498" i="5"/>
  <c r="AQ498" i="5" s="1"/>
  <c r="AP311" i="5"/>
  <c r="AQ311" i="5" s="1"/>
  <c r="AP38" i="5"/>
  <c r="BI38" i="5" s="1"/>
  <c r="AP162" i="5"/>
  <c r="AR162" i="5" s="1"/>
  <c r="AP405" i="5"/>
  <c r="AQ405" i="5" s="1"/>
  <c r="AP24" i="5"/>
  <c r="AR24" i="5" s="1"/>
  <c r="AP78" i="5"/>
  <c r="AQ78" i="5" s="1"/>
  <c r="AP362" i="5"/>
  <c r="AQ362" i="5" s="1"/>
  <c r="AP169" i="5"/>
  <c r="BI169" i="5" s="1"/>
  <c r="AP381" i="5"/>
  <c r="BI381" i="5" s="1"/>
  <c r="AP296" i="5"/>
  <c r="AQ296" i="5" s="1"/>
  <c r="AP168" i="5"/>
  <c r="AQ168" i="5" s="1"/>
  <c r="AP145" i="5"/>
  <c r="BI145" i="5" s="1"/>
  <c r="AP196" i="5"/>
  <c r="BI196" i="5" s="1"/>
  <c r="AP402" i="5"/>
  <c r="AR402" i="5" s="1"/>
  <c r="AP39" i="5"/>
  <c r="AR39" i="5" s="1"/>
  <c r="AP218" i="5"/>
  <c r="AQ218" i="5" s="1"/>
  <c r="AP335" i="5"/>
  <c r="AQ335" i="5" s="1"/>
  <c r="AP206" i="5"/>
  <c r="BI206" i="5" s="1"/>
  <c r="AP299" i="5"/>
  <c r="AR299" i="5" s="1"/>
  <c r="AP200" i="5"/>
  <c r="AR200" i="5" s="1"/>
  <c r="AP315" i="5"/>
  <c r="AR315" i="5" s="1"/>
  <c r="AP359" i="5"/>
  <c r="AR359" i="5" s="1"/>
  <c r="AP437" i="5"/>
  <c r="AQ437" i="5" s="1"/>
  <c r="AP179" i="5"/>
  <c r="AR179" i="5" s="1"/>
  <c r="AP448" i="5"/>
  <c r="AQ448" i="5" s="1"/>
  <c r="AP185" i="5"/>
  <c r="BI185" i="5" s="1"/>
  <c r="AP333" i="5"/>
  <c r="BI333" i="5" s="1"/>
  <c r="AP240" i="5"/>
  <c r="BI240" i="5" s="1"/>
  <c r="AP554" i="5"/>
  <c r="AR554" i="5" s="1"/>
  <c r="AP313" i="5"/>
  <c r="BI313" i="5" s="1"/>
  <c r="AP58" i="5"/>
  <c r="AQ58" i="5" s="1"/>
  <c r="AP247" i="5"/>
  <c r="AQ247" i="5" s="1"/>
  <c r="AP459" i="5"/>
  <c r="AQ459" i="5" s="1"/>
  <c r="AP458" i="5"/>
  <c r="AQ458" i="5" s="1"/>
  <c r="AP527" i="5"/>
  <c r="AR527" i="5" s="1"/>
  <c r="AP32" i="5"/>
  <c r="AQ32" i="5" s="1"/>
  <c r="AP62" i="5"/>
  <c r="AR62" i="5" s="1"/>
  <c r="AP265" i="5"/>
  <c r="AQ265" i="5" s="1"/>
  <c r="AP93" i="5"/>
  <c r="AR93" i="5" s="1"/>
  <c r="AP488" i="5"/>
  <c r="AR488" i="5" s="1"/>
  <c r="AP425" i="5"/>
  <c r="BI425" i="5" s="1"/>
  <c r="AP30" i="5"/>
  <c r="BI30" i="5" s="1"/>
  <c r="AP118" i="5"/>
  <c r="BI118" i="5" s="1"/>
  <c r="AP163" i="5"/>
  <c r="AR163" i="5" s="1"/>
  <c r="AP85" i="5"/>
  <c r="AQ85" i="5" s="1"/>
  <c r="AP544" i="5"/>
  <c r="AR544" i="5" s="1"/>
  <c r="AP532" i="5"/>
  <c r="AQ532" i="5" s="1"/>
  <c r="AP460" i="5"/>
  <c r="AQ460" i="5" s="1"/>
  <c r="AP371" i="5"/>
  <c r="AQ371" i="5" s="1"/>
  <c r="AP136" i="5"/>
  <c r="AR136" i="5" s="1"/>
  <c r="AP342" i="5"/>
  <c r="AQ342" i="5" s="1"/>
  <c r="Y57" i="4"/>
  <c r="AR57" i="4" s="1"/>
  <c r="X130" i="4"/>
  <c r="AJ130" i="4" s="1"/>
  <c r="Y130" i="4"/>
  <c r="AR130" i="4" s="1"/>
  <c r="X87" i="4"/>
  <c r="AJ87" i="4" s="1"/>
  <c r="X98" i="4"/>
  <c r="AJ98" i="4" s="1"/>
  <c r="Y98" i="4"/>
  <c r="AR98" i="4" s="1"/>
  <c r="Y65" i="4"/>
  <c r="AR65" i="4" s="1"/>
  <c r="X103" i="4"/>
  <c r="AJ103" i="4" s="1"/>
  <c r="X92" i="4"/>
  <c r="AJ92" i="4" s="1"/>
  <c r="Y92" i="4"/>
  <c r="AR92" i="4" s="1"/>
  <c r="X133" i="4"/>
  <c r="AJ133" i="4" s="1"/>
  <c r="Y133" i="4"/>
  <c r="AR133" i="4" s="1"/>
  <c r="X38" i="4"/>
  <c r="AJ38" i="4" s="1"/>
  <c r="X124" i="4"/>
  <c r="AJ124" i="4" s="1"/>
  <c r="Y124" i="4"/>
  <c r="AR124" i="4" s="1"/>
  <c r="Y58" i="4"/>
  <c r="AR58" i="4" s="1"/>
  <c r="X125" i="4"/>
  <c r="AJ125" i="4" s="1"/>
  <c r="Y125" i="4"/>
  <c r="AR125" i="4" s="1"/>
  <c r="X105" i="4"/>
  <c r="AJ105" i="4" s="1"/>
  <c r="Y105" i="4"/>
  <c r="AR105" i="4" s="1"/>
  <c r="X154" i="4"/>
  <c r="AJ154" i="4" s="1"/>
  <c r="Y154" i="4"/>
  <c r="AR154" i="4" s="1"/>
  <c r="X93" i="4"/>
  <c r="AJ93" i="4" s="1"/>
  <c r="Y93" i="4"/>
  <c r="AR93" i="4" s="1"/>
  <c r="X126" i="4"/>
  <c r="AJ126" i="4" s="1"/>
  <c r="Y126" i="4"/>
  <c r="AR126" i="4" s="1"/>
  <c r="X116" i="4"/>
  <c r="AJ116" i="4" s="1"/>
  <c r="Y116" i="4"/>
  <c r="AR116" i="4" s="1"/>
  <c r="X148" i="4"/>
  <c r="AJ148" i="4" s="1"/>
  <c r="Y148" i="4"/>
  <c r="AR148" i="4" s="1"/>
  <c r="X128" i="4"/>
  <c r="AJ128" i="4" s="1"/>
  <c r="Y128" i="4"/>
  <c r="AR128" i="4" s="1"/>
  <c r="X88" i="4"/>
  <c r="AJ88" i="4" s="1"/>
  <c r="X104" i="4"/>
  <c r="AJ104" i="4" s="1"/>
  <c r="X139" i="4"/>
  <c r="AJ139" i="4" s="1"/>
  <c r="X109" i="4"/>
  <c r="AJ109" i="4" s="1"/>
  <c r="Y109" i="4"/>
  <c r="AR109" i="4" s="1"/>
  <c r="AP301" i="5"/>
  <c r="AR301" i="5" s="1"/>
  <c r="AP556" i="5"/>
  <c r="AR556" i="5" s="1"/>
  <c r="AP90" i="5"/>
  <c r="AQ90" i="5" s="1"/>
  <c r="AP195" i="5"/>
  <c r="BI195" i="5" s="1"/>
  <c r="AP72" i="5"/>
  <c r="AQ72" i="5" s="1"/>
  <c r="AP501" i="5"/>
  <c r="AQ501" i="5" s="1"/>
  <c r="AP199" i="5"/>
  <c r="BI199" i="5" s="1"/>
  <c r="AP251" i="5"/>
  <c r="AR251" i="5" s="1"/>
  <c r="AP455" i="5"/>
  <c r="AQ455" i="5" s="1"/>
  <c r="AP249" i="5"/>
  <c r="AQ249" i="5" s="1"/>
  <c r="AP41" i="5"/>
  <c r="BI41" i="5" s="1"/>
  <c r="AP307" i="5"/>
  <c r="BI307" i="5" s="1"/>
  <c r="AP350" i="5"/>
  <c r="AQ350" i="5" s="1"/>
  <c r="AP66" i="5"/>
  <c r="BI66" i="5" s="1"/>
  <c r="AP312" i="5"/>
  <c r="AQ312" i="5" s="1"/>
  <c r="AP290" i="5"/>
  <c r="AR290" i="5" s="1"/>
  <c r="AP326" i="5"/>
  <c r="AR326" i="5" s="1"/>
  <c r="AP156" i="5"/>
  <c r="BI156" i="5" s="1"/>
  <c r="AP318" i="5"/>
  <c r="AR318" i="5" s="1"/>
  <c r="AP116" i="5"/>
  <c r="AR116" i="5" s="1"/>
  <c r="AP278" i="5"/>
  <c r="BI278" i="5" s="1"/>
  <c r="AP210" i="5"/>
  <c r="AQ210" i="5" s="1"/>
  <c r="AP551" i="5"/>
  <c r="AR551" i="5" s="1"/>
  <c r="AP288" i="5"/>
  <c r="AQ288" i="5" s="1"/>
  <c r="AP539" i="5"/>
  <c r="AR539" i="5" s="1"/>
  <c r="AP454" i="5"/>
  <c r="AQ454" i="5" s="1"/>
  <c r="AP164" i="5"/>
  <c r="AR164" i="5" s="1"/>
  <c r="AP167" i="5"/>
  <c r="AQ167" i="5" s="1"/>
  <c r="AP232" i="5"/>
  <c r="AQ232" i="5" s="1"/>
  <c r="X142" i="4"/>
  <c r="AJ142" i="4" s="1"/>
  <c r="Y142" i="4"/>
  <c r="AR142" i="4" s="1"/>
  <c r="Y55" i="4"/>
  <c r="AR55" i="4" s="1"/>
  <c r="X129" i="4"/>
  <c r="AJ129" i="4" s="1"/>
  <c r="Y129" i="4"/>
  <c r="AR129" i="4" s="1"/>
  <c r="X146" i="4"/>
  <c r="AJ146" i="4" s="1"/>
  <c r="X157" i="4"/>
  <c r="AJ157" i="4" s="1"/>
  <c r="X75" i="4"/>
  <c r="AJ75" i="4" s="1"/>
  <c r="Y75" i="4"/>
  <c r="AR75" i="4" s="1"/>
  <c r="X110" i="4"/>
  <c r="AJ110" i="4" s="1"/>
  <c r="Y110" i="4"/>
  <c r="AR110" i="4" s="1"/>
  <c r="X123" i="4"/>
  <c r="AJ123" i="4" s="1"/>
  <c r="Y123" i="4"/>
  <c r="AR123" i="4" s="1"/>
  <c r="Y60" i="4"/>
  <c r="AR60" i="4" s="1"/>
  <c r="X153" i="4"/>
  <c r="AJ153" i="4" s="1"/>
  <c r="Y54" i="4"/>
  <c r="AR54" i="4" s="1"/>
  <c r="X144" i="4"/>
  <c r="AJ144" i="4" s="1"/>
  <c r="Y144" i="4"/>
  <c r="AR144" i="4" s="1"/>
  <c r="X47" i="4"/>
  <c r="AJ47" i="4" s="1"/>
  <c r="X102" i="4"/>
  <c r="AJ102" i="4" s="1"/>
  <c r="Y102" i="4"/>
  <c r="AR102" i="4" s="1"/>
  <c r="X96" i="4"/>
  <c r="AJ96" i="4" s="1"/>
  <c r="Y96" i="4"/>
  <c r="AR96" i="4" s="1"/>
  <c r="X113" i="4"/>
  <c r="AJ113" i="4" s="1"/>
  <c r="Y113" i="4"/>
  <c r="AR113" i="4" s="1"/>
  <c r="X85" i="4"/>
  <c r="AJ85" i="4" s="1"/>
  <c r="Y85" i="4"/>
  <c r="AR85" i="4" s="1"/>
  <c r="X67" i="4"/>
  <c r="AJ67" i="4" s="1"/>
  <c r="Y67" i="4"/>
  <c r="AR67" i="4" s="1"/>
  <c r="X143" i="4"/>
  <c r="AJ143" i="4" s="1"/>
  <c r="Y143" i="4"/>
  <c r="AR143" i="4" s="1"/>
  <c r="X117" i="4"/>
  <c r="AJ117" i="4" s="1"/>
  <c r="Y117" i="4"/>
  <c r="AR117" i="4" s="1"/>
  <c r="X147" i="4"/>
  <c r="AJ147" i="4" s="1"/>
  <c r="X137" i="4"/>
  <c r="AJ137" i="4" s="1"/>
  <c r="Y137" i="4"/>
  <c r="AR137" i="4" s="1"/>
  <c r="X74" i="4"/>
  <c r="AJ74" i="4" s="1"/>
  <c r="Y74" i="4"/>
  <c r="AR74" i="4" s="1"/>
  <c r="X135" i="4"/>
  <c r="AJ135" i="4" s="1"/>
  <c r="Y135" i="4"/>
  <c r="AR135" i="4" s="1"/>
  <c r="X151" i="4"/>
  <c r="AJ151" i="4" s="1"/>
  <c r="Y151" i="4"/>
  <c r="AR151" i="4" s="1"/>
  <c r="X79" i="4"/>
  <c r="AJ79" i="4" s="1"/>
  <c r="Y79" i="4"/>
  <c r="AR79" i="4" s="1"/>
  <c r="AP427" i="5"/>
  <c r="AQ427" i="5" s="1"/>
  <c r="AP404" i="5"/>
  <c r="AR404" i="5" s="1"/>
  <c r="AP447" i="5"/>
  <c r="AQ447" i="5" s="1"/>
  <c r="AP187" i="5"/>
  <c r="AR187" i="5" s="1"/>
  <c r="AP166" i="5"/>
  <c r="AQ166" i="5" s="1"/>
  <c r="AP177" i="5"/>
  <c r="AQ177" i="5" s="1"/>
  <c r="AP12" i="5"/>
  <c r="AR12" i="5" s="1"/>
  <c r="AP97" i="5"/>
  <c r="AR97" i="5" s="1"/>
  <c r="AP37" i="5"/>
  <c r="AQ37" i="5" s="1"/>
  <c r="AP327" i="5"/>
  <c r="AQ327" i="5" s="1"/>
  <c r="AP276" i="5"/>
  <c r="AQ276" i="5" s="1"/>
  <c r="AP422" i="5"/>
  <c r="BI422" i="5" s="1"/>
  <c r="AP349" i="5"/>
  <c r="AR349" i="5" s="1"/>
  <c r="AP120" i="5"/>
  <c r="AR120" i="5" s="1"/>
  <c r="AP102" i="5"/>
  <c r="BI102" i="5" s="1"/>
  <c r="AP337" i="5"/>
  <c r="BI337" i="5" s="1"/>
  <c r="AP316" i="5"/>
  <c r="BI316" i="5" s="1"/>
  <c r="AP115" i="5"/>
  <c r="AR115" i="5" s="1"/>
  <c r="AP22" i="5"/>
  <c r="BI22" i="5" s="1"/>
  <c r="AP328" i="5"/>
  <c r="AQ328" i="5" s="1"/>
  <c r="AP396" i="5"/>
  <c r="AQ396" i="5" s="1"/>
  <c r="AP377" i="5"/>
  <c r="AQ377" i="5" s="1"/>
  <c r="AP280" i="5"/>
  <c r="AQ280" i="5" s="1"/>
  <c r="AP494" i="5"/>
  <c r="BI494" i="5" s="1"/>
  <c r="AP61" i="5"/>
  <c r="BI61" i="5" s="1"/>
  <c r="AP79" i="5"/>
  <c r="AR79" i="5" s="1"/>
  <c r="AP188" i="5"/>
  <c r="AR188" i="5" s="1"/>
  <c r="AP107" i="5"/>
  <c r="BI107" i="5" s="1"/>
  <c r="AP392" i="5"/>
  <c r="BI392" i="5" s="1"/>
  <c r="AP125" i="5"/>
  <c r="AQ125" i="5" s="1"/>
  <c r="AP441" i="5"/>
  <c r="AQ441" i="5" s="1"/>
  <c r="AP45" i="5"/>
  <c r="BI45" i="5" s="1"/>
  <c r="AP505" i="5"/>
  <c r="AR505" i="5" s="1"/>
  <c r="AP76" i="5"/>
  <c r="AR76" i="5" s="1"/>
  <c r="AP308" i="5"/>
  <c r="AR308" i="5" s="1"/>
  <c r="AP142" i="5"/>
  <c r="AR142" i="5" s="1"/>
  <c r="AP347" i="5"/>
  <c r="AQ347" i="5" s="1"/>
  <c r="AP258" i="5"/>
  <c r="AR258" i="5" s="1"/>
  <c r="AP523" i="5"/>
  <c r="AR523" i="5" s="1"/>
  <c r="AP94" i="5"/>
  <c r="BI94" i="5" s="1"/>
  <c r="AP300" i="5"/>
  <c r="AQ300" i="5" s="1"/>
  <c r="AP113" i="5"/>
  <c r="BI113" i="5" s="1"/>
  <c r="AP264" i="5"/>
  <c r="AR264" i="5" s="1"/>
  <c r="AP225" i="5"/>
  <c r="AR225" i="5" s="1"/>
  <c r="AP531" i="5"/>
  <c r="AQ531" i="5" s="1"/>
  <c r="AP514" i="5"/>
  <c r="AR514" i="5" s="1"/>
  <c r="AP25" i="5"/>
  <c r="AQ25" i="5" s="1"/>
  <c r="AP530" i="5"/>
  <c r="BI530" i="5" s="1"/>
  <c r="AP329" i="5"/>
  <c r="AQ329" i="5" s="1"/>
  <c r="AP7" i="5"/>
  <c r="AR7" i="5" s="1"/>
  <c r="AP383" i="5"/>
  <c r="BI383" i="5" s="1"/>
  <c r="AP322" i="5"/>
  <c r="AR322" i="5" s="1"/>
  <c r="AP410" i="5"/>
  <c r="AR410" i="5" s="1"/>
  <c r="AP47" i="5"/>
  <c r="BI47" i="5" s="1"/>
  <c r="AP409" i="5"/>
  <c r="BI409" i="5" s="1"/>
  <c r="AP457" i="5"/>
  <c r="AR457" i="5" s="1"/>
  <c r="AP204" i="5"/>
  <c r="BI204" i="5" s="1"/>
  <c r="AP369" i="5"/>
  <c r="BI369" i="5" s="1"/>
  <c r="AP294" i="5"/>
  <c r="AQ294" i="5" s="1"/>
  <c r="AP91" i="5"/>
  <c r="AR91" i="5" s="1"/>
  <c r="AP384" i="5"/>
  <c r="BI384" i="5" s="1"/>
  <c r="AP211" i="5"/>
  <c r="BI211" i="5" s="1"/>
  <c r="AP348" i="5"/>
  <c r="AR348" i="5" s="1"/>
  <c r="AP547" i="5"/>
  <c r="BI547" i="5" s="1"/>
  <c r="AP46" i="5"/>
  <c r="BI46" i="5" s="1"/>
  <c r="AP242" i="5"/>
  <c r="BI242" i="5" s="1"/>
  <c r="AP295" i="5"/>
  <c r="AQ295" i="5" s="1"/>
  <c r="AP430" i="5"/>
  <c r="BI430" i="5" s="1"/>
  <c r="AP366" i="5"/>
  <c r="AQ366" i="5" s="1"/>
  <c r="AP205" i="5"/>
  <c r="AR205" i="5" s="1"/>
  <c r="AP360" i="5"/>
  <c r="AR360" i="5" s="1"/>
  <c r="AP56" i="5"/>
  <c r="AR56" i="5" s="1"/>
  <c r="AP71" i="5"/>
  <c r="AR71" i="5" s="1"/>
  <c r="AP324" i="5"/>
  <c r="AR324" i="5" s="1"/>
  <c r="AP340" i="5"/>
  <c r="AR340" i="5" s="1"/>
  <c r="AP248" i="5"/>
  <c r="AR248" i="5" s="1"/>
  <c r="AP144" i="5"/>
  <c r="AR144" i="5" s="1"/>
  <c r="AP552" i="5"/>
  <c r="AR552" i="5" s="1"/>
  <c r="AP413" i="5"/>
  <c r="AR413" i="5" s="1"/>
  <c r="AP165" i="5"/>
  <c r="BI165" i="5" s="1"/>
  <c r="AP484" i="5"/>
  <c r="AQ484" i="5" s="1"/>
  <c r="AP75" i="5"/>
  <c r="AQ75" i="5" s="1"/>
  <c r="AP271" i="5"/>
  <c r="BI271" i="5" s="1"/>
  <c r="AP353" i="5"/>
  <c r="AQ353" i="5" s="1"/>
  <c r="AP262" i="5"/>
  <c r="BI262" i="5" s="1"/>
  <c r="AP491" i="5"/>
  <c r="BI491" i="5" s="1"/>
  <c r="AP60" i="5"/>
  <c r="AR60" i="5" s="1"/>
  <c r="AP390" i="5"/>
  <c r="AR390" i="5" s="1"/>
  <c r="AP553" i="5"/>
  <c r="BI553" i="5" s="1"/>
  <c r="AP28" i="5"/>
  <c r="AQ28" i="5" s="1"/>
  <c r="AP320" i="5"/>
  <c r="BI320" i="5" s="1"/>
  <c r="AP503" i="5"/>
  <c r="AR503" i="5" s="1"/>
  <c r="AP161" i="5"/>
  <c r="BI161" i="5" s="1"/>
  <c r="AP429" i="5"/>
  <c r="BI429" i="5" s="1"/>
  <c r="AP558" i="5"/>
  <c r="BI558" i="5" s="1"/>
  <c r="AP314" i="5"/>
  <c r="AQ314" i="5" s="1"/>
  <c r="AP334" i="5"/>
  <c r="BI334" i="5" s="1"/>
  <c r="AP540" i="5"/>
  <c r="AR540" i="5" s="1"/>
  <c r="AP123" i="5"/>
  <c r="BI123" i="5" s="1"/>
  <c r="AP325" i="5"/>
  <c r="AQ325" i="5" s="1"/>
  <c r="AP555" i="5"/>
  <c r="AR555" i="5" s="1"/>
  <c r="AP401" i="5"/>
  <c r="BI401" i="5" s="1"/>
  <c r="AP542" i="5"/>
  <c r="AR542" i="5" s="1"/>
  <c r="AP255" i="5"/>
  <c r="AQ255" i="5" s="1"/>
  <c r="AP89" i="5"/>
  <c r="AR89" i="5" s="1"/>
  <c r="AP55" i="5"/>
  <c r="BI55" i="5" s="1"/>
  <c r="AP495" i="5"/>
  <c r="AR495" i="5" s="1"/>
  <c r="AP513" i="5"/>
  <c r="BI513" i="5" s="1"/>
  <c r="AQ124" i="5"/>
  <c r="AR124" i="5"/>
  <c r="AN411" i="5"/>
  <c r="AO411" i="5"/>
  <c r="AO151" i="5"/>
  <c r="AN151" i="5"/>
  <c r="AO68" i="5"/>
  <c r="AN68" i="5"/>
  <c r="AO252" i="5"/>
  <c r="AN252" i="5"/>
  <c r="AO77" i="5"/>
  <c r="AN77" i="5"/>
  <c r="AO266" i="5"/>
  <c r="AN266" i="5"/>
  <c r="AO33" i="5"/>
  <c r="AN33" i="5"/>
  <c r="AN148" i="5"/>
  <c r="AO148" i="5"/>
  <c r="AO84" i="5"/>
  <c r="AN84" i="5"/>
  <c r="AO106" i="5"/>
  <c r="AN106" i="5"/>
  <c r="AN557" i="5"/>
  <c r="AO557" i="5"/>
  <c r="AN240" i="5"/>
  <c r="AO240" i="5"/>
  <c r="AN446" i="5"/>
  <c r="AO446" i="5"/>
  <c r="AN183" i="5"/>
  <c r="AO183" i="5"/>
  <c r="AO192" i="5"/>
  <c r="AN192" i="5"/>
  <c r="AO209" i="5"/>
  <c r="AN209" i="5"/>
  <c r="AN394" i="5"/>
  <c r="AO394" i="5"/>
  <c r="AO541" i="5"/>
  <c r="AN541" i="5"/>
  <c r="AN504" i="5"/>
  <c r="AO504" i="5"/>
  <c r="AN13" i="5"/>
  <c r="AO13" i="5"/>
  <c r="AO416" i="5"/>
  <c r="AN416" i="5"/>
  <c r="AN54" i="5"/>
  <c r="AO54" i="5"/>
  <c r="AN159" i="5"/>
  <c r="AO159" i="5"/>
  <c r="AO154" i="5"/>
  <c r="AN154" i="5"/>
  <c r="AO524" i="5"/>
  <c r="AN524" i="5"/>
  <c r="AN260" i="5"/>
  <c r="AO260" i="5"/>
  <c r="AO444" i="5"/>
  <c r="AN444" i="5"/>
  <c r="AN372" i="5"/>
  <c r="AO372" i="5"/>
  <c r="AN529" i="5"/>
  <c r="AO529" i="5"/>
  <c r="AN284" i="5"/>
  <c r="AO284" i="5"/>
  <c r="AO533" i="5"/>
  <c r="AN533" i="5"/>
  <c r="AO219" i="5"/>
  <c r="AN219" i="5"/>
  <c r="AO462" i="5"/>
  <c r="AN462" i="5"/>
  <c r="AN176" i="5"/>
  <c r="AO176" i="5"/>
  <c r="AO267" i="5"/>
  <c r="AN267" i="5"/>
  <c r="AN419" i="5"/>
  <c r="AO419" i="5"/>
  <c r="AO12" i="5"/>
  <c r="AN12" i="5"/>
  <c r="AO101" i="5"/>
  <c r="AN101" i="5"/>
  <c r="AO386" i="5"/>
  <c r="AN386" i="5"/>
  <c r="AO368" i="5"/>
  <c r="AN368" i="5"/>
  <c r="AO186" i="5"/>
  <c r="AN186" i="5"/>
  <c r="AO363" i="5"/>
  <c r="AN363" i="5"/>
  <c r="AO65" i="5"/>
  <c r="AN65" i="5"/>
  <c r="AO316" i="5"/>
  <c r="AN316" i="5"/>
  <c r="AO302" i="5"/>
  <c r="AN302" i="5"/>
  <c r="AO336" i="5"/>
  <c r="AN336" i="5"/>
  <c r="AN184" i="5"/>
  <c r="AO184" i="5"/>
  <c r="AN485" i="5"/>
  <c r="AO485" i="5"/>
  <c r="AO73" i="5"/>
  <c r="AN73" i="5"/>
  <c r="AO248" i="5"/>
  <c r="AN248" i="5"/>
  <c r="AH16" i="4"/>
  <c r="AE16" i="4"/>
  <c r="Z16" i="4"/>
  <c r="X16" i="4" s="1"/>
  <c r="AJ16" i="4" s="1"/>
  <c r="AH9" i="4"/>
  <c r="Z9" i="4"/>
  <c r="X9" i="4" s="1"/>
  <c r="AJ9" i="4" s="1"/>
  <c r="AE9" i="4"/>
  <c r="AH80" i="4"/>
  <c r="AE80" i="4"/>
  <c r="Z80" i="4"/>
  <c r="AA80" i="4"/>
  <c r="AH138" i="4"/>
  <c r="AE138" i="4"/>
  <c r="Z138" i="4"/>
  <c r="AA138" i="4"/>
  <c r="AH10" i="4"/>
  <c r="AE10" i="4"/>
  <c r="Z10" i="4"/>
  <c r="X10" i="4" s="1"/>
  <c r="AJ10" i="4" s="1"/>
  <c r="AH35" i="4"/>
  <c r="AE35" i="4"/>
  <c r="Z35" i="4"/>
  <c r="X35" i="4" s="1"/>
  <c r="AH97" i="4"/>
  <c r="AE97" i="4"/>
  <c r="AE27" i="4"/>
  <c r="AH27" i="4"/>
  <c r="Z27" i="4"/>
  <c r="X27" i="4" s="1"/>
  <c r="AH47" i="4"/>
  <c r="AA47" i="4"/>
  <c r="AE47" i="4"/>
  <c r="Z47" i="4"/>
  <c r="AE78" i="4"/>
  <c r="AH78" i="4"/>
  <c r="AH82" i="4"/>
  <c r="AE82" i="4"/>
  <c r="AE63" i="4"/>
  <c r="AH63" i="4"/>
  <c r="AH25" i="4"/>
  <c r="AE25" i="4"/>
  <c r="Z25" i="4"/>
  <c r="X25" i="4" s="1"/>
  <c r="AJ25" i="4" s="1"/>
  <c r="AE62" i="4"/>
  <c r="AH62" i="4"/>
  <c r="AE96" i="4"/>
  <c r="AH96" i="4"/>
  <c r="AH76" i="4"/>
  <c r="AE76" i="4"/>
  <c r="AH87" i="4"/>
  <c r="AE87" i="4"/>
  <c r="AA87" i="4"/>
  <c r="Z87" i="4"/>
  <c r="AE89" i="4"/>
  <c r="AH89" i="4"/>
  <c r="AE29" i="4"/>
  <c r="AH29" i="4"/>
  <c r="Z29" i="4"/>
  <c r="X29" i="4" s="1"/>
  <c r="AH65" i="4"/>
  <c r="AE65" i="4"/>
  <c r="AP68" i="5"/>
  <c r="AP159" i="5"/>
  <c r="AP446" i="5"/>
  <c r="AP411" i="5"/>
  <c r="AP176" i="5"/>
  <c r="AP529" i="5"/>
  <c r="AP444" i="5"/>
  <c r="AP154" i="5"/>
  <c r="AP260" i="5"/>
  <c r="AP394" i="5"/>
  <c r="AP252" i="5"/>
  <c r="AE120" i="4"/>
  <c r="AA120" i="4"/>
  <c r="Z120" i="4"/>
  <c r="AH120" i="4"/>
  <c r="AK9" i="5"/>
  <c r="AL9" i="5"/>
  <c r="AI9" i="5"/>
  <c r="AH9" i="5"/>
  <c r="AE142" i="4"/>
  <c r="AH142" i="4"/>
  <c r="AE51" i="4"/>
  <c r="AH51" i="4"/>
  <c r="Z51" i="4"/>
  <c r="X51" i="4" s="1"/>
  <c r="AE118" i="4"/>
  <c r="AH118" i="4"/>
  <c r="AE114" i="4"/>
  <c r="AH114" i="4"/>
  <c r="AE69" i="4"/>
  <c r="AH69" i="4"/>
  <c r="AH104" i="4"/>
  <c r="Z104" i="4"/>
  <c r="AA104" i="4"/>
  <c r="AE104" i="4"/>
  <c r="AH139" i="4"/>
  <c r="AA139" i="4"/>
  <c r="Z139" i="4"/>
  <c r="AE139" i="4"/>
  <c r="AH100" i="4"/>
  <c r="AE100" i="4"/>
  <c r="AA100" i="4"/>
  <c r="Z100" i="4"/>
  <c r="P44" i="5"/>
  <c r="P46" i="5"/>
  <c r="P297" i="5"/>
  <c r="P541" i="5"/>
  <c r="P28" i="5"/>
  <c r="P348" i="5"/>
  <c r="P524" i="5"/>
  <c r="P29" i="5"/>
  <c r="P19" i="5"/>
  <c r="P256" i="5"/>
  <c r="P85" i="5"/>
  <c r="P282" i="5"/>
  <c r="P137" i="5"/>
  <c r="P468" i="5"/>
  <c r="P281" i="5"/>
  <c r="P76" i="5"/>
  <c r="P431" i="5"/>
  <c r="P405" i="5"/>
  <c r="P97" i="5"/>
  <c r="P21" i="5"/>
  <c r="P542" i="5"/>
  <c r="P37" i="5"/>
  <c r="P410" i="5"/>
  <c r="P70" i="5"/>
  <c r="P341" i="5"/>
  <c r="P77" i="5"/>
  <c r="P326" i="5"/>
  <c r="P258" i="5"/>
  <c r="P328" i="5"/>
  <c r="P560" i="5"/>
  <c r="P49" i="5"/>
  <c r="P166" i="5"/>
  <c r="P144" i="5"/>
  <c r="P62" i="5"/>
  <c r="P358" i="5"/>
  <c r="P210" i="5"/>
  <c r="P415" i="5"/>
  <c r="P559" i="5"/>
  <c r="P81" i="5"/>
  <c r="P522" i="5"/>
  <c r="P181" i="5"/>
  <c r="P514" i="5"/>
  <c r="P419" i="5"/>
  <c r="P558" i="5"/>
  <c r="P110" i="5"/>
  <c r="P272" i="5"/>
  <c r="P225" i="5"/>
  <c r="P507" i="5"/>
  <c r="P88" i="5"/>
  <c r="P466" i="5"/>
  <c r="P260" i="5"/>
  <c r="P437" i="5"/>
  <c r="P421" i="5"/>
  <c r="P299" i="5"/>
  <c r="P430" i="5"/>
  <c r="P309" i="5"/>
  <c r="P209" i="5"/>
  <c r="P242" i="5"/>
  <c r="P377" i="5"/>
  <c r="P187" i="5"/>
  <c r="P500" i="5"/>
  <c r="P119" i="5"/>
  <c r="P213" i="5"/>
  <c r="P51" i="5"/>
  <c r="P8" i="5"/>
  <c r="P34" i="5"/>
  <c r="P38" i="5"/>
  <c r="P372" i="5"/>
  <c r="P473" i="5"/>
  <c r="P180" i="5"/>
  <c r="P448" i="5"/>
  <c r="P316" i="5"/>
  <c r="P353" i="5"/>
  <c r="P504" i="5"/>
  <c r="P445" i="5"/>
  <c r="P234" i="5"/>
  <c r="P164" i="5"/>
  <c r="P373" i="5"/>
  <c r="P90" i="5"/>
  <c r="P83" i="5"/>
  <c r="P254" i="5"/>
  <c r="P149" i="5"/>
  <c r="P141" i="5"/>
  <c r="P549" i="5"/>
  <c r="P277" i="5"/>
  <c r="P27" i="5"/>
  <c r="P286" i="5"/>
  <c r="P551" i="5"/>
  <c r="P87" i="5"/>
  <c r="P115" i="5"/>
  <c r="P362" i="5"/>
  <c r="P352" i="5"/>
  <c r="P554" i="5"/>
  <c r="P369" i="5"/>
  <c r="P475" i="5"/>
  <c r="P236" i="5"/>
  <c r="P370" i="5"/>
  <c r="P350" i="5"/>
  <c r="P45" i="5"/>
  <c r="P150" i="5"/>
  <c r="P324" i="5"/>
  <c r="P447" i="5"/>
  <c r="P485" i="5"/>
  <c r="P331" i="5"/>
  <c r="P458" i="5"/>
  <c r="P521" i="5"/>
  <c r="P125" i="5"/>
  <c r="P393" i="5"/>
  <c r="P329" i="5"/>
  <c r="P537" i="5"/>
  <c r="P443" i="5"/>
  <c r="P93" i="5"/>
  <c r="P245" i="5"/>
  <c r="P123" i="5"/>
  <c r="P265" i="5"/>
  <c r="P279" i="5"/>
  <c r="P402" i="5"/>
  <c r="P64" i="5"/>
  <c r="P160" i="5"/>
  <c r="P41" i="5"/>
  <c r="P301" i="5"/>
  <c r="P42" i="5"/>
  <c r="P292" i="5"/>
  <c r="P424" i="5"/>
  <c r="P195" i="5"/>
  <c r="P462" i="5"/>
  <c r="P98" i="5"/>
  <c r="P474" i="5"/>
  <c r="P243" i="5"/>
  <c r="P442" i="5"/>
  <c r="P531" i="5"/>
  <c r="P207" i="5"/>
  <c r="P162" i="5"/>
  <c r="P69" i="5"/>
  <c r="P406" i="5"/>
  <c r="P381" i="5"/>
  <c r="P153" i="5"/>
  <c r="P300" i="5"/>
  <c r="P36" i="5"/>
  <c r="P322" i="5"/>
  <c r="P349" i="5"/>
  <c r="P319" i="5"/>
  <c r="P31" i="5"/>
  <c r="P191" i="5"/>
  <c r="P429" i="5"/>
  <c r="P13" i="5"/>
  <c r="P513" i="5"/>
  <c r="P11" i="5"/>
  <c r="P124" i="5"/>
  <c r="P364" i="5"/>
  <c r="P332" i="5"/>
  <c r="P220" i="5"/>
  <c r="P74" i="5"/>
  <c r="P109" i="5"/>
  <c r="P214" i="5"/>
  <c r="P453" i="5"/>
  <c r="P339" i="5"/>
  <c r="P416" i="5"/>
  <c r="P440" i="5"/>
  <c r="P203" i="5"/>
  <c r="P482" i="5"/>
  <c r="P438" i="5"/>
  <c r="P134" i="5"/>
  <c r="P128" i="5"/>
  <c r="P171" i="5"/>
  <c r="P91" i="5"/>
  <c r="P515" i="5"/>
  <c r="P487" i="5"/>
  <c r="P399" i="5"/>
  <c r="P56" i="5"/>
  <c r="P132" i="5"/>
  <c r="P488" i="5"/>
  <c r="P417" i="5"/>
  <c r="P441" i="5"/>
  <c r="P401" i="5"/>
  <c r="P486" i="5"/>
  <c r="P185" i="5"/>
  <c r="P451" i="5"/>
  <c r="P104" i="5"/>
  <c r="P544" i="5"/>
  <c r="P457" i="5"/>
  <c r="P384" i="5"/>
  <c r="P217" i="5"/>
  <c r="P289" i="5"/>
  <c r="P346" i="5"/>
  <c r="P528" i="5"/>
  <c r="P320" i="5"/>
  <c r="P120" i="5"/>
  <c r="P262" i="5"/>
  <c r="P175" i="5"/>
  <c r="P403" i="5"/>
  <c r="P95" i="5"/>
  <c r="P112" i="5"/>
  <c r="P276" i="5"/>
  <c r="P479" i="5"/>
  <c r="P287" i="5"/>
  <c r="P435" i="5"/>
  <c r="P518" i="5"/>
  <c r="P72" i="5"/>
  <c r="P271" i="5"/>
  <c r="P82" i="5"/>
  <c r="P116" i="5"/>
  <c r="P509" i="5"/>
  <c r="P450" i="5"/>
  <c r="P412" i="5"/>
  <c r="P408" i="5"/>
  <c r="P465" i="5"/>
  <c r="P333" i="5"/>
  <c r="P538" i="5"/>
  <c r="P379" i="5"/>
  <c r="P122" i="5"/>
  <c r="P432" i="5"/>
  <c r="P535" i="5"/>
  <c r="P172" i="5"/>
  <c r="P543" i="5"/>
  <c r="P425" i="5"/>
  <c r="P33" i="5"/>
  <c r="P40" i="5"/>
  <c r="P79" i="5"/>
  <c r="P47" i="5"/>
  <c r="P495" i="5"/>
  <c r="P337" i="5"/>
  <c r="P492" i="5"/>
  <c r="P545" i="5"/>
  <c r="P231" i="5"/>
  <c r="P30" i="5"/>
  <c r="P383" i="5"/>
  <c r="P253" i="5"/>
  <c r="P449" i="5"/>
  <c r="P101" i="5"/>
  <c r="P194" i="5"/>
  <c r="P65" i="5"/>
  <c r="P323" i="5"/>
  <c r="P360" i="5"/>
  <c r="P269" i="5"/>
  <c r="P539" i="5"/>
  <c r="P394" i="5"/>
  <c r="P43" i="5"/>
  <c r="P61" i="5"/>
  <c r="P378" i="5"/>
  <c r="P477" i="5"/>
  <c r="P489" i="5"/>
  <c r="P519" i="5"/>
  <c r="P295" i="5"/>
  <c r="P121" i="5"/>
  <c r="P391" i="5"/>
  <c r="P268" i="5"/>
  <c r="P68" i="5"/>
  <c r="P155" i="5"/>
  <c r="P107" i="5"/>
  <c r="P22" i="5"/>
  <c r="P314" i="5"/>
  <c r="P229" i="5"/>
  <c r="P148" i="5"/>
  <c r="P411" i="5"/>
  <c r="P67" i="5"/>
  <c r="P526" i="5"/>
  <c r="P113" i="5"/>
  <c r="P470" i="5"/>
  <c r="P452" i="5"/>
  <c r="P307" i="5"/>
  <c r="P409" i="5"/>
  <c r="P55" i="5"/>
  <c r="P343" i="5"/>
  <c r="P223" i="5"/>
  <c r="P298" i="5"/>
  <c r="P230" i="5"/>
  <c r="P303" i="5"/>
  <c r="P99" i="5"/>
  <c r="P499" i="5"/>
  <c r="P555" i="5"/>
  <c r="P275" i="5"/>
  <c r="P290" i="5"/>
  <c r="P380" i="5"/>
  <c r="P139" i="5"/>
  <c r="P512" i="5"/>
  <c r="P266" i="5"/>
  <c r="P385" i="5"/>
  <c r="P325" i="5"/>
  <c r="P156" i="5"/>
  <c r="P335" i="5"/>
  <c r="P498" i="5"/>
  <c r="P178" i="5"/>
  <c r="P264" i="5"/>
  <c r="P159" i="5"/>
  <c r="P294" i="5"/>
  <c r="P240" i="5"/>
  <c r="P151" i="5"/>
  <c r="P168" i="5"/>
  <c r="P84" i="5"/>
  <c r="P208" i="5"/>
  <c r="P53" i="5"/>
  <c r="P476" i="5"/>
  <c r="P197" i="5"/>
  <c r="P327" i="5"/>
  <c r="P100" i="5"/>
  <c r="P389" i="5"/>
  <c r="P184" i="5"/>
  <c r="P414" i="5"/>
  <c r="P505" i="5"/>
  <c r="P523" i="5"/>
  <c r="P422" i="5"/>
  <c r="P204" i="5"/>
  <c r="P483" i="5"/>
  <c r="P252" i="5"/>
  <c r="P108" i="5"/>
  <c r="P308" i="5"/>
  <c r="P388" i="5"/>
  <c r="P267" i="5"/>
  <c r="P183" i="5"/>
  <c r="P73" i="5"/>
  <c r="P130" i="5"/>
  <c r="P530" i="5"/>
  <c r="P387" i="5"/>
  <c r="P397" i="5"/>
  <c r="P427" i="5"/>
  <c r="P532" i="5"/>
  <c r="P376" i="5"/>
  <c r="P222" i="5"/>
  <c r="P25" i="5"/>
  <c r="P426" i="5"/>
  <c r="P463" i="5"/>
  <c r="P510" i="5"/>
  <c r="P288" i="5"/>
  <c r="P285" i="5"/>
  <c r="P478" i="5"/>
  <c r="P296" i="5"/>
  <c r="P497" i="5"/>
  <c r="P154" i="5"/>
  <c r="P464" i="5"/>
  <c r="P201" i="5"/>
  <c r="P105" i="5"/>
  <c r="P237" i="5"/>
  <c r="P278" i="5"/>
  <c r="P506" i="5"/>
  <c r="P433" i="5"/>
  <c r="P491" i="5"/>
  <c r="P80" i="5"/>
  <c r="P552" i="5"/>
  <c r="P351" i="5"/>
  <c r="P263" i="5"/>
  <c r="P368" i="5"/>
  <c r="P66" i="5"/>
  <c r="P480" i="5"/>
  <c r="P347" i="5"/>
  <c r="P202" i="5"/>
  <c r="P118" i="5"/>
  <c r="P374" i="5"/>
  <c r="P274" i="5"/>
  <c r="P165" i="5"/>
  <c r="P434" i="5"/>
  <c r="P199" i="5"/>
  <c r="P342" i="5"/>
  <c r="P550" i="5"/>
  <c r="P182" i="5"/>
  <c r="P547" i="5"/>
  <c r="P255" i="5"/>
  <c r="P436" i="5"/>
  <c r="P366" i="5"/>
  <c r="P291" i="5"/>
  <c r="P306" i="5"/>
  <c r="P158" i="5"/>
  <c r="P190" i="5"/>
  <c r="P177" i="5"/>
  <c r="P359" i="5"/>
  <c r="P446" i="5"/>
  <c r="P246" i="5"/>
  <c r="P472" i="5"/>
  <c r="P321" i="5"/>
  <c r="P226" i="5"/>
  <c r="P20" i="5"/>
  <c r="P493" i="5"/>
  <c r="P23" i="5"/>
  <c r="P26" i="5"/>
  <c r="P186" i="5"/>
  <c r="P490" i="5"/>
  <c r="P305" i="5"/>
  <c r="P467" i="5"/>
  <c r="P508" i="5"/>
  <c r="P57" i="5"/>
  <c r="P136" i="5"/>
  <c r="P221" i="5"/>
  <c r="P533" i="5"/>
  <c r="P211" i="5"/>
  <c r="P481" i="5"/>
  <c r="P338" i="5"/>
  <c r="P516" i="5"/>
  <c r="P428" i="5"/>
  <c r="P138" i="5"/>
  <c r="P52" i="5"/>
  <c r="P63" i="5"/>
  <c r="P143" i="5"/>
  <c r="P536" i="5"/>
  <c r="P102" i="5"/>
  <c r="P247" i="5"/>
  <c r="P89" i="5"/>
  <c r="P548" i="5"/>
  <c r="P553" i="5"/>
  <c r="P511" i="5"/>
  <c r="P471" i="5"/>
  <c r="P54" i="5"/>
  <c r="P390" i="5"/>
  <c r="P205" i="5"/>
  <c r="P48" i="5"/>
  <c r="P365" i="5"/>
  <c r="P361" i="5"/>
  <c r="P396" i="5"/>
  <c r="P420" i="5"/>
  <c r="P196" i="5"/>
  <c r="P502" i="5"/>
  <c r="P501" i="5"/>
  <c r="P407" i="5"/>
  <c r="P189" i="5"/>
  <c r="P357" i="5"/>
  <c r="P86" i="5"/>
  <c r="P241" i="5"/>
  <c r="P219" i="5"/>
  <c r="P375" i="5"/>
  <c r="P106" i="5"/>
  <c r="P117" i="5"/>
  <c r="P340" i="5"/>
  <c r="P103" i="5"/>
  <c r="P284" i="5"/>
  <c r="P251" i="5"/>
  <c r="P215" i="5"/>
  <c r="P400" i="5"/>
  <c r="P176" i="5"/>
  <c r="P395" i="5"/>
  <c r="P146" i="5"/>
  <c r="P540" i="5"/>
  <c r="P114" i="5"/>
  <c r="P469" i="5"/>
  <c r="P317" i="5"/>
  <c r="P131" i="5"/>
  <c r="P318" i="5"/>
  <c r="P173" i="5"/>
  <c r="P216" i="5"/>
  <c r="P140" i="5"/>
  <c r="P293" i="5"/>
  <c r="P152" i="5"/>
  <c r="P78" i="5"/>
  <c r="P147" i="5"/>
  <c r="P461" i="5"/>
  <c r="P198" i="5"/>
  <c r="P169" i="5"/>
  <c r="P273" i="5"/>
  <c r="P161" i="5"/>
  <c r="P174" i="5"/>
  <c r="P163" i="5"/>
  <c r="P257" i="5"/>
  <c r="P334" i="5"/>
  <c r="P228" i="5"/>
  <c r="P179" i="5"/>
  <c r="P206" i="5"/>
  <c r="P12" i="5"/>
  <c r="P336" i="5"/>
  <c r="P192" i="5"/>
  <c r="P312" i="5"/>
  <c r="P126" i="5"/>
  <c r="P460" i="5"/>
  <c r="P520" i="5"/>
  <c r="P71" i="5"/>
  <c r="P227" i="5"/>
  <c r="P484" i="5"/>
  <c r="P200" i="5"/>
  <c r="P24" i="5"/>
  <c r="P157" i="5"/>
  <c r="P94" i="5"/>
  <c r="P398" i="5"/>
  <c r="P261" i="5"/>
  <c r="P259" i="5"/>
  <c r="P557" i="5"/>
  <c r="P404" i="5"/>
  <c r="P439" i="5"/>
  <c r="P145" i="5"/>
  <c r="P371" i="5"/>
  <c r="P310" i="5"/>
  <c r="P111" i="5"/>
  <c r="P212" i="5"/>
  <c r="P546" i="5"/>
  <c r="P250" i="5"/>
  <c r="P224" i="5"/>
  <c r="P503" i="5"/>
  <c r="P456" i="5"/>
  <c r="P354" i="5"/>
  <c r="P142" i="5"/>
  <c r="P10" i="5"/>
  <c r="P283" i="5"/>
  <c r="P355" i="5"/>
  <c r="P135" i="5"/>
  <c r="P270" i="5"/>
  <c r="P356" i="5"/>
  <c r="P59" i="5"/>
  <c r="P423" i="5"/>
  <c r="P127" i="5"/>
  <c r="P244" i="5"/>
  <c r="P392" i="5"/>
  <c r="P313" i="5"/>
  <c r="P232" i="5"/>
  <c r="P413" i="5"/>
  <c r="P529" i="5"/>
  <c r="P50" i="5"/>
  <c r="P32" i="5"/>
  <c r="P280" i="5"/>
  <c r="P386" i="5"/>
  <c r="P330" i="5"/>
  <c r="P238" i="5"/>
  <c r="P193" i="5"/>
  <c r="P39" i="5"/>
  <c r="P58" i="5"/>
  <c r="P233" i="5"/>
  <c r="P75" i="5"/>
  <c r="P188" i="5"/>
  <c r="P363" i="5"/>
  <c r="P345" i="5"/>
  <c r="P92" i="5"/>
  <c r="P239" i="5"/>
  <c r="P459" i="5"/>
  <c r="P556" i="5"/>
  <c r="P454" i="5"/>
  <c r="P302" i="5"/>
  <c r="P534" i="5"/>
  <c r="P494" i="5"/>
  <c r="P133" i="5"/>
  <c r="P496" i="5"/>
  <c r="P311" i="5"/>
  <c r="P304" i="5"/>
  <c r="P315" i="5"/>
  <c r="P60" i="5"/>
  <c r="P382" i="5"/>
  <c r="P525" i="5"/>
  <c r="P527" i="5"/>
  <c r="P367" i="5"/>
  <c r="P96" i="5"/>
  <c r="P218" i="5"/>
  <c r="P170" i="5"/>
  <c r="P444" i="5"/>
  <c r="P344" i="5"/>
  <c r="P418" i="5"/>
  <c r="P167" i="5"/>
  <c r="P517" i="5"/>
  <c r="P455" i="5"/>
  <c r="P235" i="5"/>
  <c r="P249" i="5"/>
  <c r="P35" i="5"/>
  <c r="P9" i="5"/>
  <c r="P248" i="5"/>
  <c r="P129" i="5"/>
  <c r="AE95" i="4"/>
  <c r="AH95" i="4"/>
  <c r="AE46" i="4"/>
  <c r="AH46" i="4"/>
  <c r="Z46" i="4"/>
  <c r="X46" i="4" s="1"/>
  <c r="AE50" i="4"/>
  <c r="AH50" i="4"/>
  <c r="Z50" i="4"/>
  <c r="AH48" i="4"/>
  <c r="AE48" i="4"/>
  <c r="Z48" i="4"/>
  <c r="X48" i="4" s="1"/>
  <c r="AH53" i="4"/>
  <c r="AE53" i="4"/>
  <c r="Z53" i="4"/>
  <c r="X53" i="4" s="1"/>
  <c r="AJ53" i="4" s="1"/>
  <c r="AE91" i="4"/>
  <c r="AA91" i="4"/>
  <c r="AH91" i="4"/>
  <c r="Z91" i="4"/>
  <c r="AH122" i="4"/>
  <c r="AE122" i="4"/>
  <c r="AH99" i="4"/>
  <c r="AA99" i="4"/>
  <c r="AE99" i="4"/>
  <c r="Z99" i="4"/>
  <c r="B185" i="2"/>
  <c r="B219" i="2"/>
  <c r="H64" i="1" s="1"/>
  <c r="AE7" i="5"/>
  <c r="BF7" i="5"/>
  <c r="AD7" i="5"/>
  <c r="B184" i="2" s="1"/>
  <c r="AE54" i="4"/>
  <c r="AH54" i="4"/>
  <c r="AH24" i="4"/>
  <c r="AE24" i="4"/>
  <c r="Z24" i="4"/>
  <c r="X24" i="4" s="1"/>
  <c r="AJ24" i="4" s="1"/>
  <c r="O11" i="5"/>
  <c r="Q408" i="5"/>
  <c r="Q53" i="5"/>
  <c r="Q154" i="5"/>
  <c r="Q150" i="5"/>
  <c r="Q287" i="5"/>
  <c r="Q385" i="5"/>
  <c r="Q464" i="5"/>
  <c r="Q459" i="5"/>
  <c r="Q418" i="5"/>
  <c r="Q424" i="5"/>
  <c r="Q402" i="5"/>
  <c r="Q495" i="5"/>
  <c r="Q177" i="5"/>
  <c r="Q404" i="5"/>
  <c r="Q45" i="5"/>
  <c r="Q504" i="5"/>
  <c r="Q392" i="5"/>
  <c r="Q325" i="5"/>
  <c r="Q292" i="5"/>
  <c r="Q416" i="5"/>
  <c r="Q471" i="5"/>
  <c r="Q339" i="5"/>
  <c r="Q131" i="5"/>
  <c r="Q400" i="5"/>
  <c r="Q48" i="5"/>
  <c r="Q79" i="5"/>
  <c r="Q488" i="5"/>
  <c r="Q69" i="5"/>
  <c r="Q421" i="5"/>
  <c r="Q455" i="5"/>
  <c r="Q233" i="5"/>
  <c r="Q137" i="5"/>
  <c r="Q366" i="5"/>
  <c r="Q214" i="5"/>
  <c r="Q281" i="5"/>
  <c r="Q168" i="5"/>
  <c r="Q143" i="5"/>
  <c r="Q285" i="5"/>
  <c r="Q442" i="5"/>
  <c r="B40" i="5"/>
  <c r="Q133" i="5"/>
  <c r="Q194" i="5"/>
  <c r="Q386" i="5"/>
  <c r="Q123" i="5"/>
  <c r="Q158" i="5"/>
  <c r="Q534" i="5"/>
  <c r="Q134" i="5"/>
  <c r="Q460" i="5"/>
  <c r="Q103" i="5"/>
  <c r="Q33" i="5"/>
  <c r="Q244" i="5"/>
  <c r="Q269" i="5"/>
  <c r="Q531" i="5"/>
  <c r="Q117" i="5"/>
  <c r="Q451" i="5"/>
  <c r="Q542" i="5"/>
  <c r="Q362" i="5"/>
  <c r="Q517" i="5"/>
  <c r="Q452" i="5"/>
  <c r="Q111" i="5"/>
  <c r="Q540" i="5"/>
  <c r="Q173" i="5"/>
  <c r="Q363" i="5"/>
  <c r="Q350" i="5"/>
  <c r="Q55" i="5"/>
  <c r="Q286" i="5"/>
  <c r="Q81" i="5"/>
  <c r="Q529" i="5"/>
  <c r="Q119" i="5"/>
  <c r="Q317" i="5"/>
  <c r="Q156" i="5"/>
  <c r="Q389" i="5"/>
  <c r="Q274" i="5"/>
  <c r="Q458" i="5"/>
  <c r="Q466" i="5"/>
  <c r="Q72" i="5"/>
  <c r="Q465" i="5"/>
  <c r="Q89" i="5"/>
  <c r="Q12" i="5"/>
  <c r="Q461" i="5"/>
  <c r="Q144" i="5"/>
  <c r="Q70" i="5"/>
  <c r="Q113" i="5"/>
  <c r="Q434" i="5"/>
  <c r="Q503" i="5"/>
  <c r="Q322" i="5"/>
  <c r="Q390" i="5"/>
  <c r="Q66" i="5"/>
  <c r="Q124" i="5"/>
  <c r="Q547" i="5"/>
  <c r="Q24" i="5"/>
  <c r="Q412" i="5"/>
  <c r="Q361" i="5"/>
  <c r="Q161" i="5"/>
  <c r="Q283" i="5"/>
  <c r="Q506" i="5"/>
  <c r="Q146" i="5"/>
  <c r="Q217" i="5"/>
  <c r="Q246" i="5"/>
  <c r="Q187" i="5"/>
  <c r="Q108" i="5"/>
  <c r="Q513" i="5"/>
  <c r="Q238" i="5"/>
  <c r="Q204" i="5"/>
  <c r="Q97" i="5"/>
  <c r="Q96" i="5"/>
  <c r="Q273" i="5"/>
  <c r="Q149" i="5"/>
  <c r="Q104" i="5"/>
  <c r="Q272" i="5"/>
  <c r="Q212" i="5"/>
  <c r="Q393" i="5"/>
  <c r="Q52" i="5"/>
  <c r="Q215" i="5"/>
  <c r="Q301" i="5"/>
  <c r="Q346" i="5"/>
  <c r="Q224" i="5"/>
  <c r="Q327" i="5"/>
  <c r="Q99" i="5"/>
  <c r="Q296" i="5"/>
  <c r="Q388" i="5"/>
  <c r="Q321" i="5"/>
  <c r="Q356" i="5"/>
  <c r="Q535" i="5"/>
  <c r="Q23" i="5"/>
  <c r="Q62" i="5"/>
  <c r="Q110" i="5"/>
  <c r="Q315" i="5"/>
  <c r="Q448" i="5"/>
  <c r="Q132" i="5"/>
  <c r="Q39" i="5"/>
  <c r="Q82" i="5"/>
  <c r="Q328" i="5"/>
  <c r="Q336" i="5"/>
  <c r="Q359" i="5"/>
  <c r="Q19" i="5"/>
  <c r="Q348" i="5"/>
  <c r="Q207" i="5"/>
  <c r="Q538" i="5"/>
  <c r="Q197" i="5"/>
  <c r="Q184" i="5"/>
  <c r="Q463" i="5"/>
  <c r="Q333" i="5"/>
  <c r="Q349" i="5"/>
  <c r="Q58" i="5"/>
  <c r="Q326" i="5"/>
  <c r="Q530" i="5"/>
  <c r="Q172" i="5"/>
  <c r="Q26" i="5"/>
  <c r="Q293" i="5"/>
  <c r="Q266" i="5"/>
  <c r="Q320" i="5"/>
  <c r="Q304" i="5"/>
  <c r="Q518" i="5"/>
  <c r="Q29" i="5"/>
  <c r="Q163" i="5"/>
  <c r="Q211" i="5"/>
  <c r="Q438" i="5"/>
  <c r="Q515" i="5"/>
  <c r="Q261" i="5"/>
  <c r="Q27" i="5"/>
  <c r="Q382" i="5"/>
  <c r="Q505" i="5"/>
  <c r="Q248" i="5"/>
  <c r="Q409" i="5"/>
  <c r="Q114" i="5"/>
  <c r="Q64" i="5"/>
  <c r="Q74" i="5"/>
  <c r="Q484" i="5"/>
  <c r="Q543" i="5"/>
  <c r="Q351" i="5"/>
  <c r="Q473" i="5"/>
  <c r="Q199" i="5"/>
  <c r="Q428" i="5"/>
  <c r="Q279" i="5"/>
  <c r="Q427" i="5"/>
  <c r="Q73" i="5"/>
  <c r="Q387" i="5"/>
  <c r="Q480" i="5"/>
  <c r="Q414" i="5"/>
  <c r="Q501" i="5"/>
  <c r="Q541" i="5"/>
  <c r="Q157" i="5"/>
  <c r="Q467" i="5"/>
  <c r="Q213" i="5"/>
  <c r="Q8" i="5"/>
  <c r="Q396" i="5"/>
  <c r="Q140" i="5"/>
  <c r="Q411" i="5"/>
  <c r="Q78" i="5"/>
  <c r="Q46" i="5"/>
  <c r="Q552" i="5"/>
  <c r="Q477" i="5"/>
  <c r="Q344" i="5"/>
  <c r="Q61" i="5"/>
  <c r="Q370" i="5"/>
  <c r="Q528" i="5"/>
  <c r="Q288" i="5"/>
  <c r="Q202" i="5"/>
  <c r="Q164" i="5"/>
  <c r="Q250" i="5"/>
  <c r="Q300" i="5"/>
  <c r="Q334" i="5"/>
  <c r="Q228" i="5"/>
  <c r="Q364" i="5"/>
  <c r="Q219" i="5"/>
  <c r="Q309" i="5"/>
  <c r="Q200" i="5"/>
  <c r="Q38" i="5"/>
  <c r="Q28" i="5"/>
  <c r="Q44" i="5"/>
  <c r="Q379" i="5"/>
  <c r="Q377" i="5"/>
  <c r="Q499" i="5"/>
  <c r="Q453" i="5"/>
  <c r="Q446" i="5"/>
  <c r="Q329" i="5"/>
  <c r="Q88" i="5"/>
  <c r="Q40" i="5"/>
  <c r="Q553" i="5"/>
  <c r="Q399" i="5"/>
  <c r="Q263" i="5"/>
  <c r="Q368" i="5"/>
  <c r="Q429" i="5"/>
  <c r="Q456" i="5"/>
  <c r="Q185" i="5"/>
  <c r="Q278" i="5"/>
  <c r="Q431" i="5"/>
  <c r="Q130" i="5"/>
  <c r="Q159" i="5"/>
  <c r="Q496" i="5"/>
  <c r="Q494" i="5"/>
  <c r="Q338" i="5"/>
  <c r="Q291" i="5"/>
  <c r="Q155" i="5"/>
  <c r="Q106" i="5"/>
  <c r="Q492" i="5"/>
  <c r="Q176" i="5"/>
  <c r="Q384" i="5"/>
  <c r="Q433" i="5"/>
  <c r="Q472" i="5"/>
  <c r="Q347" i="5"/>
  <c r="Q255" i="5"/>
  <c r="Q230" i="5"/>
  <c r="Q243" i="5"/>
  <c r="Q332" i="5"/>
  <c r="Q95" i="5"/>
  <c r="Q31" i="5"/>
  <c r="Q251" i="5"/>
  <c r="Q167" i="5"/>
  <c r="Q372" i="5"/>
  <c r="Q171" i="5"/>
  <c r="Q175" i="5"/>
  <c r="Q277" i="5"/>
  <c r="Q479" i="5"/>
  <c r="Q239" i="5"/>
  <c r="Q440" i="5"/>
  <c r="Q397" i="5"/>
  <c r="Q549" i="5"/>
  <c r="Q258" i="5"/>
  <c r="Q422" i="5"/>
  <c r="Q236" i="5"/>
  <c r="Q229" i="5"/>
  <c r="Q189" i="5"/>
  <c r="Q548" i="5"/>
  <c r="Q136" i="5"/>
  <c r="Q474" i="5"/>
  <c r="Q312" i="5"/>
  <c r="Q10" i="5"/>
  <c r="Q554" i="5"/>
  <c r="Q523" i="5"/>
  <c r="Q525" i="5"/>
  <c r="Q51" i="5"/>
  <c r="Q470" i="5"/>
  <c r="Q483" i="5"/>
  <c r="Q437" i="5"/>
  <c r="Q352" i="5"/>
  <c r="Q245" i="5"/>
  <c r="Q75" i="5"/>
  <c r="Q100" i="5"/>
  <c r="Q498" i="5"/>
  <c r="Q275" i="5"/>
  <c r="Q371" i="5"/>
  <c r="Q307" i="5"/>
  <c r="Q305" i="5"/>
  <c r="Q524" i="5"/>
  <c r="Q330" i="5"/>
  <c r="Q160" i="5"/>
  <c r="Q545" i="5"/>
  <c r="Q139" i="5"/>
  <c r="Q345" i="5"/>
  <c r="Q262" i="5"/>
  <c r="Q101" i="5"/>
  <c r="Q43" i="5"/>
  <c r="Q558" i="5"/>
  <c r="Q198" i="5"/>
  <c r="Q166" i="5"/>
  <c r="Q208" i="5"/>
  <c r="Q247" i="5"/>
  <c r="Q358" i="5"/>
  <c r="Q254" i="5"/>
  <c r="Q365" i="5"/>
  <c r="Q487" i="5"/>
  <c r="Q77" i="5"/>
  <c r="Q314" i="5"/>
  <c r="Q92" i="5"/>
  <c r="Q290" i="5"/>
  <c r="Q403" i="5"/>
  <c r="Q308" i="5"/>
  <c r="Q54" i="5"/>
  <c r="Q374" i="5"/>
  <c r="Q511" i="5"/>
  <c r="Q417" i="5"/>
  <c r="Q485" i="5"/>
  <c r="Q341" i="5"/>
  <c r="Q84" i="5"/>
  <c r="Q32" i="5"/>
  <c r="Q449" i="5"/>
  <c r="Q115" i="5"/>
  <c r="Q216" i="5"/>
  <c r="Q220" i="5"/>
  <c r="Q551" i="5"/>
  <c r="Q445" i="5"/>
  <c r="Q153" i="5"/>
  <c r="Q192" i="5"/>
  <c r="Q30" i="5"/>
  <c r="Q76" i="5"/>
  <c r="Q297" i="5"/>
  <c r="Q122" i="5"/>
  <c r="Q284" i="5"/>
  <c r="Q482" i="5"/>
  <c r="Q469" i="5"/>
  <c r="Q354" i="5"/>
  <c r="Q170" i="5"/>
  <c r="Q174" i="5"/>
  <c r="Q380" i="5"/>
  <c r="Q430" i="5"/>
  <c r="Q294" i="5"/>
  <c r="Q475" i="5"/>
  <c r="Q340" i="5"/>
  <c r="Q410" i="5"/>
  <c r="Q165" i="5"/>
  <c r="Q426" i="5"/>
  <c r="Q491" i="5"/>
  <c r="Q241" i="5"/>
  <c r="Q186" i="5"/>
  <c r="Q468" i="5"/>
  <c r="Q205" i="5"/>
  <c r="Q502" i="5"/>
  <c r="Q436" i="5"/>
  <c r="Q337" i="5"/>
  <c r="Q196" i="5"/>
  <c r="Q260" i="5"/>
  <c r="Q42" i="5"/>
  <c r="Q276" i="5"/>
  <c r="Q83" i="5"/>
  <c r="Q87" i="5"/>
  <c r="Q405" i="5"/>
  <c r="Q268" i="5"/>
  <c r="Q519" i="5"/>
  <c r="Q478" i="5"/>
  <c r="Q407" i="5"/>
  <c r="Q532" i="5"/>
  <c r="Q49" i="5"/>
  <c r="Q86" i="5"/>
  <c r="Q526" i="5"/>
  <c r="Q450" i="5"/>
  <c r="Q270" i="5"/>
  <c r="Q310" i="5"/>
  <c r="Q360" i="5"/>
  <c r="Q490" i="5"/>
  <c r="Q406" i="5"/>
  <c r="Q316" i="5"/>
  <c r="Q447" i="5"/>
  <c r="Q521" i="5"/>
  <c r="Q41" i="5"/>
  <c r="Q353" i="5"/>
  <c r="Q90" i="5"/>
  <c r="Q313" i="5"/>
  <c r="Q420" i="5"/>
  <c r="Q493" i="5"/>
  <c r="Q148" i="5"/>
  <c r="Q152" i="5"/>
  <c r="Q162" i="5"/>
  <c r="Q112" i="5"/>
  <c r="Q395" i="5"/>
  <c r="Q127" i="5"/>
  <c r="Q232" i="5"/>
  <c r="Q94" i="5"/>
  <c r="Q439" i="5"/>
  <c r="Q271" i="5"/>
  <c r="Q147" i="5"/>
  <c r="Q226" i="5"/>
  <c r="Q227" i="5"/>
  <c r="Q355" i="5"/>
  <c r="Q203" i="5"/>
  <c r="Q235" i="5"/>
  <c r="Q221" i="5"/>
  <c r="Q510" i="5"/>
  <c r="Q59" i="5"/>
  <c r="Q383" i="5"/>
  <c r="Q481" i="5"/>
  <c r="Q22" i="5"/>
  <c r="Q546" i="5"/>
  <c r="Q67" i="5"/>
  <c r="Q457" i="5"/>
  <c r="Q280" i="5"/>
  <c r="Q556" i="5"/>
  <c r="Q188" i="5"/>
  <c r="Q516" i="5"/>
  <c r="Q335" i="5"/>
  <c r="Q85" i="5"/>
  <c r="Q252" i="5"/>
  <c r="Q169" i="5"/>
  <c r="Q145" i="5"/>
  <c r="Q126" i="5"/>
  <c r="Q50" i="5"/>
  <c r="Q142" i="5"/>
  <c r="Q560" i="5"/>
  <c r="Q178" i="5"/>
  <c r="Q376" i="5"/>
  <c r="Q295" i="5"/>
  <c r="Q544" i="5"/>
  <c r="Q195" i="5"/>
  <c r="Q539" i="5"/>
  <c r="Q193" i="5"/>
  <c r="Q425" i="5"/>
  <c r="Q486" i="5"/>
  <c r="Q218" i="5"/>
  <c r="Q319" i="5"/>
  <c r="Q98" i="5"/>
  <c r="Q20" i="5"/>
  <c r="Q342" i="5"/>
  <c r="Q500" i="5"/>
  <c r="Q21" i="5"/>
  <c r="Q259" i="5"/>
  <c r="Q231" i="5"/>
  <c r="Q537" i="5"/>
  <c r="Q559" i="5"/>
  <c r="Q289" i="5"/>
  <c r="Q391" i="5"/>
  <c r="Q190" i="5"/>
  <c r="Q138" i="5"/>
  <c r="Q444" i="5"/>
  <c r="Q206" i="5"/>
  <c r="Q225" i="5"/>
  <c r="Q398" i="5"/>
  <c r="Q508" i="5"/>
  <c r="Q306" i="5"/>
  <c r="Q514" i="5"/>
  <c r="Q181" i="5"/>
  <c r="Q324" i="5"/>
  <c r="Q462" i="5"/>
  <c r="Q68" i="5"/>
  <c r="Q413" i="5"/>
  <c r="Q489" i="5"/>
  <c r="Q476" i="5"/>
  <c r="Q415" i="5"/>
  <c r="Q57" i="5"/>
  <c r="Q536" i="5"/>
  <c r="Q65" i="5"/>
  <c r="Q441" i="5"/>
  <c r="Q234" i="5"/>
  <c r="Q401" i="5"/>
  <c r="Q120" i="5"/>
  <c r="Q201" i="5"/>
  <c r="Q507" i="5"/>
  <c r="Q37" i="5"/>
  <c r="Q71" i="5"/>
  <c r="Q209" i="5"/>
  <c r="Q520" i="5"/>
  <c r="Q343" i="5"/>
  <c r="Q249" i="5"/>
  <c r="Q435" i="5"/>
  <c r="Q299" i="5"/>
  <c r="Q533" i="5"/>
  <c r="Q116" i="5"/>
  <c r="Q357" i="5"/>
  <c r="Q102" i="5"/>
  <c r="Q419" i="5"/>
  <c r="Q180" i="5"/>
  <c r="Q512" i="5"/>
  <c r="Q47" i="5"/>
  <c r="Q253" i="5"/>
  <c r="Q60" i="5"/>
  <c r="Q105" i="5"/>
  <c r="Q36" i="5"/>
  <c r="Q128" i="5"/>
  <c r="Q527" i="5"/>
  <c r="Q557" i="5"/>
  <c r="Q25" i="5"/>
  <c r="Q125" i="5"/>
  <c r="Q93" i="5"/>
  <c r="Q267" i="5"/>
  <c r="Q121" i="5"/>
  <c r="Q223" i="5"/>
  <c r="Q237" i="5"/>
  <c r="Q331" i="5"/>
  <c r="Q80" i="5"/>
  <c r="Q378" i="5"/>
  <c r="Q91" i="5"/>
  <c r="Q394" i="5"/>
  <c r="Q141" i="5"/>
  <c r="Q257" i="5"/>
  <c r="Q191" i="5"/>
  <c r="Q555" i="5"/>
  <c r="Q56" i="5"/>
  <c r="Q454" i="5"/>
  <c r="Q497" i="5"/>
  <c r="Q182" i="5"/>
  <c r="Q109" i="5"/>
  <c r="Q34" i="5"/>
  <c r="Q298" i="5"/>
  <c r="Q256" i="5"/>
  <c r="Q373" i="5"/>
  <c r="Q240" i="5"/>
  <c r="Q509" i="5"/>
  <c r="Q423" i="5"/>
  <c r="Q369" i="5"/>
  <c r="Q107" i="5"/>
  <c r="Q210" i="5"/>
  <c r="Q118" i="5"/>
  <c r="Q323" i="5"/>
  <c r="Q222" i="5"/>
  <c r="Q443" i="5"/>
  <c r="Q367" i="5"/>
  <c r="Q265" i="5"/>
  <c r="Q129" i="5"/>
  <c r="Q303" i="5"/>
  <c r="Q242" i="5"/>
  <c r="Q264" i="5"/>
  <c r="Q151" i="5"/>
  <c r="Q318" i="5"/>
  <c r="Q302" i="5"/>
  <c r="Q375" i="5"/>
  <c r="Q381" i="5"/>
  <c r="Q522" i="5"/>
  <c r="Q13" i="5"/>
  <c r="Q550" i="5"/>
  <c r="Q432" i="5"/>
  <c r="Q282" i="5"/>
  <c r="Q183" i="5"/>
  <c r="Q35" i="5"/>
  <c r="Q135" i="5"/>
  <c r="Q63" i="5"/>
  <c r="Q311" i="5"/>
  <c r="Q179" i="5"/>
  <c r="Q9" i="5"/>
  <c r="AQ49" i="5"/>
  <c r="BI49" i="5"/>
  <c r="AR49" i="5"/>
  <c r="AP84" i="5"/>
  <c r="AR352" i="5"/>
  <c r="AQ352" i="5"/>
  <c r="BI352" i="5"/>
  <c r="AP386" i="5"/>
  <c r="AP219" i="5"/>
  <c r="AP485" i="5"/>
  <c r="BI103" i="5"/>
  <c r="AQ103" i="5"/>
  <c r="AR103" i="5"/>
  <c r="AP151" i="5"/>
  <c r="AP73" i="5"/>
  <c r="AP372" i="5"/>
  <c r="AE108" i="4"/>
  <c r="AH108" i="4"/>
  <c r="AE150" i="4"/>
  <c r="AH150" i="4"/>
  <c r="Z150" i="4"/>
  <c r="AA150" i="4"/>
  <c r="AE57" i="4"/>
  <c r="AH57" i="4"/>
  <c r="AA70" i="4"/>
  <c r="Z70" i="4"/>
  <c r="AE70" i="4"/>
  <c r="AH70" i="4"/>
  <c r="AH148" i="4"/>
  <c r="AE148" i="4"/>
  <c r="AA84" i="4"/>
  <c r="AH84" i="4"/>
  <c r="AE84" i="4"/>
  <c r="Z84" i="4"/>
  <c r="AH144" i="4"/>
  <c r="AE144" i="4"/>
  <c r="AE128" i="4"/>
  <c r="AH128" i="4"/>
  <c r="AH106" i="4"/>
  <c r="AE106" i="4"/>
  <c r="AE88" i="4"/>
  <c r="AA88" i="4"/>
  <c r="Z88" i="4"/>
  <c r="AH88" i="4"/>
  <c r="AH140" i="4"/>
  <c r="AE140" i="4"/>
  <c r="AH20" i="4"/>
  <c r="Z20" i="4"/>
  <c r="X20" i="4" s="1"/>
  <c r="AJ20" i="4" s="1"/>
  <c r="AE20" i="4"/>
  <c r="AE135" i="4"/>
  <c r="AH135" i="4"/>
  <c r="AH55" i="4"/>
  <c r="AE55" i="4"/>
  <c r="AE105" i="4"/>
  <c r="AH105" i="4"/>
  <c r="AE130" i="4"/>
  <c r="AH130" i="4"/>
  <c r="AE43" i="4"/>
  <c r="AH43" i="4"/>
  <c r="Z43" i="4"/>
  <c r="X43" i="4" s="1"/>
  <c r="AA119" i="4"/>
  <c r="AH119" i="4"/>
  <c r="Z119" i="4"/>
  <c r="AE119" i="4"/>
  <c r="AH39" i="4"/>
  <c r="AE39" i="4"/>
  <c r="Z39" i="4"/>
  <c r="X39" i="4" s="1"/>
  <c r="AH102" i="4"/>
  <c r="AE102" i="4"/>
  <c r="AE56" i="4"/>
  <c r="AH56" i="4"/>
  <c r="Z68" i="4"/>
  <c r="AH68" i="4"/>
  <c r="AE68" i="4"/>
  <c r="AA68" i="4"/>
  <c r="AE37" i="4"/>
  <c r="AH37" i="4"/>
  <c r="Z37" i="4"/>
  <c r="X37" i="4" s="1"/>
  <c r="AH41" i="4"/>
  <c r="AE41" i="4"/>
  <c r="Z41" i="4"/>
  <c r="AE34" i="4"/>
  <c r="AH34" i="4"/>
  <c r="Z34" i="4"/>
  <c r="X34" i="4" s="1"/>
  <c r="AH113" i="4"/>
  <c r="AE113" i="4"/>
  <c r="AE109" i="4"/>
  <c r="AH109" i="4"/>
  <c r="AH136" i="4"/>
  <c r="AE136" i="4"/>
  <c r="AE129" i="4"/>
  <c r="AH129" i="4"/>
  <c r="AE98" i="4"/>
  <c r="AH98" i="4"/>
  <c r="AH64" i="4"/>
  <c r="AE64" i="4"/>
  <c r="Z64" i="4"/>
  <c r="AE146" i="4"/>
  <c r="Z146" i="4"/>
  <c r="AA146" i="4"/>
  <c r="AH146" i="4"/>
  <c r="AE85" i="4"/>
  <c r="AH85" i="4"/>
  <c r="BI559" i="5"/>
  <c r="AQ559" i="5"/>
  <c r="AR559" i="5"/>
  <c r="AP186" i="5"/>
  <c r="AP284" i="5"/>
  <c r="AP54" i="5"/>
  <c r="AP13" i="5"/>
  <c r="AQ239" i="5"/>
  <c r="AR239" i="5"/>
  <c r="BI239" i="5"/>
  <c r="AP209" i="5"/>
  <c r="AP416" i="5"/>
  <c r="AP462" i="5"/>
  <c r="AP419" i="5"/>
  <c r="AP504" i="5"/>
  <c r="AR415" i="5"/>
  <c r="AQ415" i="5"/>
  <c r="BI415" i="5"/>
  <c r="AP77" i="5"/>
  <c r="AE117" i="4"/>
  <c r="AH117" i="4"/>
  <c r="AE81" i="4"/>
  <c r="AH81" i="4"/>
  <c r="AO537" i="5"/>
  <c r="AN537" i="5"/>
  <c r="AO509" i="5"/>
  <c r="AN509" i="5"/>
  <c r="AN213" i="5"/>
  <c r="AO213" i="5"/>
  <c r="AN259" i="5"/>
  <c r="AO259" i="5"/>
  <c r="AN95" i="5"/>
  <c r="AO95" i="5"/>
  <c r="AO135" i="5"/>
  <c r="AN135" i="5"/>
  <c r="AO393" i="5"/>
  <c r="AN393" i="5"/>
  <c r="AN482" i="5"/>
  <c r="AO482" i="5"/>
  <c r="AN149" i="5"/>
  <c r="AO149" i="5"/>
  <c r="AN129" i="5"/>
  <c r="AO129" i="5"/>
  <c r="AO333" i="5"/>
  <c r="AN333" i="5"/>
  <c r="AO365" i="5"/>
  <c r="AN365" i="5"/>
  <c r="AO497" i="5"/>
  <c r="AN497" i="5"/>
  <c r="AN61" i="5"/>
  <c r="AO61" i="5"/>
  <c r="AO463" i="5"/>
  <c r="AN463" i="5"/>
  <c r="AO408" i="5"/>
  <c r="AN408" i="5"/>
  <c r="AN273" i="5"/>
  <c r="AO273" i="5"/>
  <c r="AO526" i="5"/>
  <c r="AN526" i="5"/>
  <c r="AN291" i="5"/>
  <c r="AO291" i="5"/>
  <c r="AN127" i="5"/>
  <c r="AO127" i="5"/>
  <c r="AO293" i="5"/>
  <c r="AN293" i="5"/>
  <c r="AN220" i="5"/>
  <c r="AO220" i="5"/>
  <c r="AO453" i="5"/>
  <c r="AN453" i="5"/>
  <c r="AN442" i="5"/>
  <c r="AO442" i="5"/>
  <c r="AN138" i="5"/>
  <c r="AO138" i="5"/>
  <c r="AO500" i="5"/>
  <c r="AN500" i="5"/>
  <c r="AO495" i="5"/>
  <c r="AN495" i="5"/>
  <c r="AN294" i="5"/>
  <c r="AO294" i="5"/>
  <c r="AO310" i="5"/>
  <c r="AN310" i="5"/>
  <c r="AO477" i="5"/>
  <c r="AN477" i="5"/>
  <c r="AO137" i="5"/>
  <c r="AN137" i="5"/>
  <c r="AO173" i="5"/>
  <c r="AN173" i="5"/>
  <c r="AO401" i="5"/>
  <c r="AN401" i="5"/>
  <c r="AO49" i="5"/>
  <c r="AN49" i="5"/>
  <c r="AN150" i="5"/>
  <c r="AO150" i="5"/>
  <c r="AO59" i="5"/>
  <c r="AN59" i="5"/>
  <c r="AO347" i="5"/>
  <c r="AN347" i="5"/>
  <c r="AN227" i="5"/>
  <c r="AO227" i="5"/>
  <c r="AN458" i="5"/>
  <c r="AO458" i="5"/>
  <c r="AN480" i="5"/>
  <c r="AO480" i="5"/>
  <c r="AN428" i="5"/>
  <c r="AO428" i="5"/>
  <c r="AN476" i="5"/>
  <c r="AO476" i="5"/>
  <c r="AN361" i="5"/>
  <c r="AO361" i="5"/>
  <c r="AN270" i="5"/>
  <c r="AO270" i="5"/>
  <c r="AN250" i="5"/>
  <c r="AO250" i="5"/>
  <c r="AN207" i="5"/>
  <c r="AO207" i="5"/>
  <c r="AN254" i="5"/>
  <c r="AO254" i="5"/>
  <c r="AO553" i="5"/>
  <c r="AN553" i="5"/>
  <c r="AN25" i="5"/>
  <c r="AO25" i="5"/>
  <c r="AN231" i="5"/>
  <c r="AO231" i="5"/>
  <c r="AO371" i="5"/>
  <c r="AN371" i="5"/>
  <c r="AO172" i="5"/>
  <c r="AN172" i="5"/>
  <c r="AN214" i="5"/>
  <c r="AO214" i="5"/>
  <c r="AO128" i="5"/>
  <c r="AN128" i="5"/>
  <c r="AN141" i="5"/>
  <c r="AO141" i="5"/>
  <c r="AN550" i="5"/>
  <c r="AO550" i="5"/>
  <c r="AN314" i="5"/>
  <c r="AO314" i="5"/>
  <c r="AN79" i="5"/>
  <c r="AO79" i="5"/>
  <c r="AO378" i="5"/>
  <c r="AN378" i="5"/>
  <c r="AO490" i="5"/>
  <c r="AN490" i="5"/>
  <c r="AO385" i="5"/>
  <c r="AN385" i="5"/>
  <c r="AO406" i="5"/>
  <c r="AN406" i="5"/>
  <c r="AN118" i="5"/>
  <c r="AO118" i="5"/>
  <c r="AO521" i="5"/>
  <c r="AN521" i="5"/>
  <c r="AO531" i="5"/>
  <c r="AN531" i="5"/>
  <c r="AO483" i="5"/>
  <c r="AN483" i="5"/>
  <c r="AO132" i="5"/>
  <c r="AN132" i="5"/>
  <c r="AO211" i="5"/>
  <c r="AN211" i="5"/>
  <c r="AN478" i="5"/>
  <c r="AO478" i="5"/>
  <c r="AO63" i="5"/>
  <c r="AN63" i="5"/>
  <c r="AN351" i="5"/>
  <c r="AO351" i="5"/>
  <c r="AN246" i="5"/>
  <c r="AO246" i="5"/>
  <c r="AN409" i="5"/>
  <c r="AO409" i="5"/>
  <c r="AO390" i="5"/>
  <c r="AN390" i="5"/>
  <c r="AO391" i="5"/>
  <c r="AN391" i="5"/>
  <c r="AO345" i="5"/>
  <c r="AN345" i="5"/>
  <c r="AN272" i="5"/>
  <c r="AO272" i="5"/>
  <c r="AO87" i="5"/>
  <c r="AN87" i="5"/>
  <c r="AN525" i="5"/>
  <c r="AO525" i="5"/>
  <c r="AO514" i="5"/>
  <c r="AN514" i="5"/>
  <c r="AO21" i="5"/>
  <c r="AN21" i="5"/>
  <c r="AO489" i="5"/>
  <c r="AN489" i="5"/>
  <c r="AO424" i="5"/>
  <c r="AN424" i="5"/>
  <c r="AN157" i="5"/>
  <c r="AO157" i="5"/>
  <c r="AN257" i="5"/>
  <c r="AO257" i="5"/>
  <c r="AO175" i="5"/>
  <c r="AN175" i="5"/>
  <c r="AO417" i="5"/>
  <c r="AN417" i="5"/>
  <c r="AH264" i="5"/>
  <c r="AI264" i="5"/>
  <c r="AI513" i="5"/>
  <c r="AH513" i="5"/>
  <c r="AI524" i="5"/>
  <c r="AH524" i="5"/>
  <c r="AI194" i="5"/>
  <c r="AH194" i="5"/>
  <c r="AI546" i="5"/>
  <c r="AH546" i="5"/>
  <c r="AI460" i="5"/>
  <c r="AH460" i="5"/>
  <c r="AH375" i="5"/>
  <c r="AI375" i="5"/>
  <c r="AH484" i="5"/>
  <c r="AI484" i="5"/>
  <c r="AH401" i="5"/>
  <c r="AI401" i="5"/>
  <c r="AI229" i="5"/>
  <c r="AH229" i="5"/>
  <c r="AH536" i="5"/>
  <c r="AI536" i="5"/>
  <c r="AI280" i="5"/>
  <c r="AH280" i="5"/>
  <c r="AH384" i="5"/>
  <c r="AI384" i="5"/>
  <c r="AH328" i="5"/>
  <c r="AI328" i="5"/>
  <c r="AI254" i="5"/>
  <c r="AH254" i="5"/>
  <c r="AI248" i="5"/>
  <c r="AH248" i="5"/>
  <c r="AH368" i="5"/>
  <c r="AI368" i="5"/>
  <c r="AI427" i="5"/>
  <c r="AH427" i="5"/>
  <c r="AH409" i="5"/>
  <c r="AI409" i="5"/>
  <c r="AH204" i="5"/>
  <c r="AI204" i="5"/>
  <c r="AI113" i="5"/>
  <c r="AH113" i="5"/>
  <c r="AH558" i="5"/>
  <c r="AI558" i="5"/>
  <c r="AI308" i="5"/>
  <c r="AH308" i="5"/>
  <c r="AI28" i="5"/>
  <c r="AH28" i="5"/>
  <c r="AI342" i="5"/>
  <c r="AH342" i="5"/>
  <c r="AI225" i="5"/>
  <c r="AH225" i="5"/>
  <c r="AI56" i="5"/>
  <c r="AH56" i="5"/>
  <c r="AI77" i="5"/>
  <c r="AH77" i="5"/>
  <c r="AI250" i="5"/>
  <c r="AH250" i="5"/>
  <c r="AH91" i="5"/>
  <c r="AI91" i="5"/>
  <c r="AH161" i="5"/>
  <c r="AI161" i="5"/>
  <c r="AH125" i="5"/>
  <c r="AI125" i="5"/>
  <c r="AH7" i="5"/>
  <c r="AI7" i="5"/>
  <c r="AI413" i="5"/>
  <c r="AH413" i="5"/>
  <c r="AH356" i="5"/>
  <c r="AI356" i="5"/>
  <c r="AI316" i="5"/>
  <c r="AH316" i="5"/>
  <c r="AH347" i="5"/>
  <c r="AI347" i="5"/>
  <c r="AI255" i="5"/>
  <c r="AH255" i="5"/>
  <c r="AH327" i="5"/>
  <c r="AI327" i="5"/>
  <c r="AH242" i="5"/>
  <c r="AI242" i="5"/>
  <c r="AI57" i="5"/>
  <c r="AH57" i="5"/>
  <c r="AH523" i="5"/>
  <c r="AI523" i="5"/>
  <c r="AI294" i="5"/>
  <c r="AH294" i="5"/>
  <c r="AH381" i="5"/>
  <c r="AI381" i="5"/>
  <c r="AH102" i="5"/>
  <c r="AI102" i="5"/>
  <c r="AI123" i="5"/>
  <c r="AH123" i="5"/>
  <c r="AH300" i="5"/>
  <c r="AI300" i="5"/>
  <c r="AH320" i="5"/>
  <c r="AI320" i="5"/>
  <c r="AI392" i="5"/>
  <c r="AH392" i="5"/>
  <c r="AI337" i="5"/>
  <c r="AH337" i="5"/>
  <c r="AH60" i="5"/>
  <c r="AI60" i="5"/>
  <c r="AI429" i="5"/>
  <c r="AH429" i="5"/>
  <c r="AH37" i="5"/>
  <c r="AI37" i="5"/>
  <c r="AH553" i="5"/>
  <c r="AI553" i="5"/>
  <c r="AI457" i="5"/>
  <c r="AH457" i="5"/>
  <c r="AH543" i="5"/>
  <c r="AI543" i="5"/>
  <c r="AI314" i="5"/>
  <c r="AH314" i="5"/>
  <c r="AH430" i="5"/>
  <c r="AI430" i="5"/>
  <c r="AH45" i="5"/>
  <c r="AI45" i="5"/>
  <c r="AI410" i="5"/>
  <c r="AH410" i="5"/>
  <c r="AH495" i="5"/>
  <c r="AI495" i="5"/>
  <c r="AH494" i="5"/>
  <c r="AI494" i="5"/>
  <c r="AI422" i="5"/>
  <c r="AH422" i="5"/>
  <c r="AI61" i="5"/>
  <c r="AH61" i="5"/>
  <c r="AH540" i="5"/>
  <c r="AI540" i="5"/>
  <c r="AH120" i="5"/>
  <c r="AI120" i="5"/>
  <c r="AI33" i="5"/>
  <c r="AH33" i="5"/>
  <c r="AH396" i="5"/>
  <c r="AI396" i="5"/>
  <c r="AI262" i="5"/>
  <c r="AH262" i="5"/>
  <c r="AI55" i="5"/>
  <c r="AH55" i="5"/>
  <c r="AI527" i="5"/>
  <c r="AH527" i="5"/>
  <c r="AI271" i="5"/>
  <c r="AH271" i="5"/>
  <c r="AH366" i="5"/>
  <c r="AI366" i="5"/>
  <c r="AI334" i="5"/>
  <c r="AH334" i="5"/>
  <c r="AH188" i="5"/>
  <c r="AI188" i="5"/>
  <c r="AH12" i="5"/>
  <c r="AI12" i="5"/>
  <c r="AH79" i="5"/>
  <c r="AI79" i="5"/>
  <c r="AH107" i="5"/>
  <c r="AI107" i="5"/>
  <c r="AI349" i="5"/>
  <c r="AH349" i="5"/>
  <c r="AH171" i="5"/>
  <c r="AI171" i="5"/>
  <c r="AH329" i="5"/>
  <c r="AI329" i="5"/>
  <c r="AI505" i="5"/>
  <c r="AH505" i="5"/>
  <c r="AI258" i="5"/>
  <c r="AH258" i="5"/>
  <c r="AH322" i="5"/>
  <c r="AI322" i="5"/>
  <c r="AI530" i="5"/>
  <c r="AH530" i="5"/>
  <c r="AI154" i="5"/>
  <c r="AH154" i="5"/>
  <c r="AI276" i="5"/>
  <c r="AH276" i="5"/>
  <c r="AI340" i="5"/>
  <c r="AH340" i="5"/>
  <c r="AI76" i="5"/>
  <c r="AH76" i="5"/>
  <c r="AI395" i="5"/>
  <c r="AH395" i="5"/>
  <c r="AI514" i="5"/>
  <c r="AH514" i="5"/>
  <c r="AH369" i="5"/>
  <c r="AI369" i="5"/>
  <c r="AH25" i="5"/>
  <c r="AI25" i="5"/>
  <c r="AH491" i="5"/>
  <c r="AI491" i="5"/>
  <c r="AH353" i="5"/>
  <c r="AI353" i="5"/>
  <c r="AH531" i="5"/>
  <c r="AI531" i="5"/>
  <c r="AH115" i="5"/>
  <c r="AI115" i="5"/>
  <c r="AI93" i="5"/>
  <c r="AH93" i="5"/>
  <c r="AH552" i="5"/>
  <c r="AI552" i="5"/>
  <c r="AI345" i="5"/>
  <c r="AH345" i="5"/>
  <c r="AI111" i="5"/>
  <c r="AH111" i="5"/>
  <c r="AI503" i="5"/>
  <c r="AH503" i="5"/>
  <c r="AH295" i="5"/>
  <c r="AI295" i="5"/>
  <c r="AH211" i="5"/>
  <c r="AI211" i="5"/>
  <c r="AH97" i="5"/>
  <c r="AI97" i="5"/>
  <c r="AH325" i="5"/>
  <c r="AI325" i="5"/>
  <c r="AI390" i="5"/>
  <c r="AH390" i="5"/>
  <c r="AH436" i="5"/>
  <c r="AI436" i="5"/>
  <c r="AH547" i="5"/>
  <c r="AI547" i="5"/>
  <c r="AI75" i="5"/>
  <c r="AH75" i="5"/>
  <c r="AI142" i="5"/>
  <c r="AH142" i="5"/>
  <c r="AH47" i="5"/>
  <c r="AI47" i="5"/>
  <c r="AH205" i="5"/>
  <c r="AI205" i="5"/>
  <c r="AI542" i="5"/>
  <c r="AH542" i="5"/>
  <c r="AI73" i="5"/>
  <c r="AH73" i="5"/>
  <c r="AI555" i="5"/>
  <c r="AH555" i="5"/>
  <c r="AH348" i="5"/>
  <c r="AI348" i="5"/>
  <c r="AH144" i="5"/>
  <c r="AI144" i="5"/>
  <c r="AI441" i="5"/>
  <c r="AH441" i="5"/>
  <c r="AI71" i="5"/>
  <c r="AH71" i="5"/>
  <c r="AI46" i="5"/>
  <c r="AH46" i="5"/>
  <c r="AH383" i="5"/>
  <c r="AI383" i="5"/>
  <c r="AH266" i="5"/>
  <c r="AI266" i="5"/>
  <c r="AI360" i="5"/>
  <c r="AH360" i="5"/>
  <c r="AI219" i="5"/>
  <c r="AH219" i="5"/>
  <c r="AH377" i="5"/>
  <c r="AI377" i="5"/>
  <c r="AH22" i="5"/>
  <c r="AI22" i="5"/>
  <c r="AH170" i="5"/>
  <c r="AI170" i="5"/>
  <c r="AH94" i="5"/>
  <c r="AI94" i="5"/>
  <c r="AI89" i="5"/>
  <c r="AH89" i="5"/>
  <c r="AI84" i="5"/>
  <c r="AH84" i="5"/>
  <c r="AH29" i="5"/>
  <c r="AI29" i="5"/>
  <c r="AI165" i="5"/>
  <c r="AH165" i="5"/>
  <c r="AH463" i="5"/>
  <c r="AI463" i="5"/>
  <c r="AH324" i="5"/>
  <c r="AI324" i="5"/>
  <c r="AI181" i="5"/>
  <c r="AH181" i="5"/>
  <c r="AH12" i="4"/>
  <c r="AE12" i="4"/>
  <c r="Z12" i="4"/>
  <c r="X12" i="4" s="1"/>
  <c r="AJ12" i="4" s="1"/>
  <c r="AH71" i="4"/>
  <c r="Z71" i="4"/>
  <c r="AE71" i="4"/>
  <c r="AA71" i="4"/>
  <c r="AE49" i="4"/>
  <c r="Z49" i="4"/>
  <c r="AH49" i="4"/>
  <c r="Z157" i="4"/>
  <c r="AN157" i="4" s="1"/>
  <c r="AH157" i="4"/>
  <c r="AE157" i="4"/>
  <c r="AA157" i="4"/>
  <c r="AH155" i="4"/>
  <c r="AE155" i="4"/>
  <c r="AH73" i="4"/>
  <c r="AE73" i="4"/>
  <c r="AH152" i="4"/>
  <c r="AE152" i="4"/>
  <c r="AE124" i="4"/>
  <c r="AH124" i="4"/>
  <c r="AH26" i="4"/>
  <c r="AE26" i="4"/>
  <c r="Z26" i="4"/>
  <c r="AE110" i="4"/>
  <c r="AH110" i="4"/>
  <c r="AH123" i="4"/>
  <c r="AE123" i="4"/>
  <c r="AE60" i="4"/>
  <c r="AH60" i="4"/>
  <c r="AE58" i="4"/>
  <c r="AH58" i="4"/>
  <c r="AE153" i="4"/>
  <c r="AA153" i="4"/>
  <c r="Z153" i="4"/>
  <c r="AH153" i="4"/>
  <c r="AE149" i="4"/>
  <c r="AH149" i="4"/>
  <c r="AH66" i="4"/>
  <c r="AE66" i="4"/>
  <c r="AH23" i="4"/>
  <c r="AE23" i="4"/>
  <c r="Z23" i="4"/>
  <c r="X23" i="4" s="1"/>
  <c r="AJ23" i="4" s="1"/>
  <c r="AE112" i="4"/>
  <c r="AH112" i="4"/>
  <c r="AH131" i="4"/>
  <c r="AE131" i="4"/>
  <c r="AE36" i="4"/>
  <c r="Z36" i="4"/>
  <c r="AH36" i="4"/>
  <c r="AH14" i="4"/>
  <c r="AE14" i="4"/>
  <c r="Z14" i="4"/>
  <c r="X14" i="4" s="1"/>
  <c r="AJ14" i="4" s="1"/>
  <c r="AE42" i="4"/>
  <c r="AH42" i="4"/>
  <c r="Z42" i="4"/>
  <c r="AE32" i="4"/>
  <c r="Z32" i="4"/>
  <c r="AH32" i="4"/>
  <c r="AE72" i="4"/>
  <c r="AH72" i="4"/>
  <c r="Z72" i="4"/>
  <c r="AA72" i="4"/>
  <c r="AH116" i="4"/>
  <c r="AE116" i="4"/>
  <c r="AP267" i="5"/>
  <c r="AP148" i="5"/>
  <c r="AP452" i="5"/>
  <c r="AP33" i="5"/>
  <c r="AP497" i="5"/>
  <c r="AP9" i="5"/>
  <c r="AH67" i="4"/>
  <c r="AE67" i="4"/>
  <c r="AH31" i="4"/>
  <c r="Z31" i="4"/>
  <c r="X31" i="4" s="1"/>
  <c r="AE31" i="4"/>
  <c r="AH145" i="4"/>
  <c r="AE145" i="4"/>
  <c r="AE93" i="4"/>
  <c r="AH93" i="4"/>
  <c r="AH59" i="4"/>
  <c r="AE59" i="4"/>
  <c r="AE94" i="4"/>
  <c r="AH94" i="4"/>
  <c r="AH121" i="4"/>
  <c r="AE121" i="4"/>
  <c r="AE126" i="4"/>
  <c r="AH126" i="4"/>
  <c r="AE74" i="4"/>
  <c r="AH74" i="4"/>
  <c r="AE83" i="4"/>
  <c r="Z83" i="4"/>
  <c r="AA83" i="4"/>
  <c r="AH83" i="4"/>
  <c r="AH79" i="4"/>
  <c r="AE79" i="4"/>
  <c r="AX9" i="5"/>
  <c r="AY9" i="5"/>
  <c r="AO560" i="5"/>
  <c r="AN560" i="5"/>
  <c r="AO451" i="5"/>
  <c r="AN451" i="5"/>
  <c r="AN274" i="5"/>
  <c r="AO274" i="5"/>
  <c r="AO190" i="5"/>
  <c r="AN190" i="5"/>
  <c r="AO377" i="5"/>
  <c r="AN377" i="5"/>
  <c r="AO308" i="5"/>
  <c r="AN308" i="5"/>
  <c r="AN222" i="5"/>
  <c r="AO222" i="5"/>
  <c r="AO412" i="5"/>
  <c r="AN412" i="5"/>
  <c r="AO375" i="5"/>
  <c r="AN375" i="5"/>
  <c r="AN494" i="5"/>
  <c r="AO494" i="5"/>
  <c r="AO140" i="5"/>
  <c r="AN140" i="5"/>
  <c r="AO329" i="5"/>
  <c r="AN329" i="5"/>
  <c r="AO241" i="5"/>
  <c r="AN241" i="5"/>
  <c r="AO474" i="5"/>
  <c r="AN474" i="5"/>
  <c r="AO38" i="5"/>
  <c r="AN38" i="5"/>
  <c r="AN28" i="5"/>
  <c r="AO28" i="5"/>
  <c r="AN295" i="5"/>
  <c r="AO295" i="5"/>
  <c r="AO450" i="5"/>
  <c r="AN450" i="5"/>
  <c r="AO193" i="5"/>
  <c r="AN193" i="5"/>
  <c r="AN275" i="5"/>
  <c r="AO275" i="5"/>
  <c r="AN160" i="5"/>
  <c r="AO160" i="5"/>
  <c r="AO353" i="5"/>
  <c r="AN353" i="5"/>
  <c r="AN178" i="5"/>
  <c r="AO178" i="5"/>
  <c r="AO454" i="5"/>
  <c r="AN454" i="5"/>
  <c r="AO432" i="5"/>
  <c r="AN432" i="5"/>
  <c r="AN153" i="5"/>
  <c r="AO153" i="5"/>
  <c r="AO225" i="5"/>
  <c r="AN225" i="5"/>
  <c r="AN189" i="5"/>
  <c r="AO189" i="5"/>
  <c r="AO535" i="5"/>
  <c r="AN535" i="5"/>
  <c r="AN438" i="5"/>
  <c r="AO438" i="5"/>
  <c r="AO358" i="5"/>
  <c r="AN358" i="5"/>
  <c r="AO515" i="5"/>
  <c r="AN515" i="5"/>
  <c r="AN413" i="5"/>
  <c r="AO413" i="5"/>
  <c r="AO244" i="5"/>
  <c r="AN244" i="5"/>
  <c r="AN196" i="5"/>
  <c r="AO196" i="5"/>
  <c r="AN170" i="5"/>
  <c r="AO170" i="5"/>
  <c r="AO108" i="5"/>
  <c r="AN108" i="5"/>
  <c r="AO144" i="5"/>
  <c r="AN144" i="5"/>
  <c r="AO325" i="5"/>
  <c r="AN325" i="5"/>
  <c r="AO536" i="5"/>
  <c r="AN536" i="5"/>
  <c r="AN107" i="5"/>
  <c r="AO107" i="5"/>
  <c r="AO383" i="5"/>
  <c r="AN383" i="5"/>
  <c r="AO387" i="5"/>
  <c r="AN387" i="5"/>
  <c r="AN327" i="5"/>
  <c r="AO327" i="5"/>
  <c r="AN105" i="5"/>
  <c r="AO105" i="5"/>
  <c r="AO26" i="5"/>
  <c r="AN26" i="5"/>
  <c r="AN517" i="5"/>
  <c r="AO517" i="5"/>
  <c r="AO236" i="5"/>
  <c r="AN236" i="5"/>
  <c r="AO548" i="5"/>
  <c r="AN548" i="5"/>
  <c r="AN81" i="5"/>
  <c r="AO81" i="5"/>
  <c r="AN39" i="5"/>
  <c r="AO39" i="5"/>
  <c r="AO243" i="5"/>
  <c r="AN243" i="5"/>
  <c r="AO287" i="5"/>
  <c r="AN287" i="5"/>
  <c r="AN348" i="5"/>
  <c r="AO348" i="5"/>
  <c r="AO194" i="5"/>
  <c r="AN194" i="5"/>
  <c r="AO459" i="5"/>
  <c r="AN459" i="5"/>
  <c r="AO337" i="5"/>
  <c r="AN337" i="5"/>
  <c r="AO366" i="5"/>
  <c r="AN366" i="5"/>
  <c r="AN354" i="5"/>
  <c r="AO354" i="5"/>
  <c r="AO426" i="5"/>
  <c r="AN426" i="5"/>
  <c r="AO82" i="5"/>
  <c r="AN82" i="5"/>
  <c r="AO42" i="5"/>
  <c r="AN42" i="5"/>
  <c r="AO120" i="5"/>
  <c r="AN120" i="5"/>
  <c r="AN230" i="5"/>
  <c r="AO230" i="5"/>
  <c r="AO469" i="5"/>
  <c r="AN469" i="5"/>
  <c r="AO309" i="5"/>
  <c r="AN309" i="5"/>
  <c r="AO292" i="5"/>
  <c r="AN292" i="5"/>
  <c r="AN382" i="5"/>
  <c r="AO382" i="5"/>
  <c r="AO27" i="5"/>
  <c r="AN27" i="5"/>
  <c r="AO163" i="5"/>
  <c r="AN163" i="5"/>
  <c r="AO389" i="5"/>
  <c r="AN389" i="5"/>
  <c r="AN356" i="5"/>
  <c r="AO356" i="5"/>
  <c r="AN115" i="5"/>
  <c r="AO115" i="5"/>
  <c r="AN559" i="5"/>
  <c r="AO559" i="5"/>
  <c r="AN229" i="5"/>
  <c r="AO229" i="5"/>
  <c r="AO461" i="5"/>
  <c r="AN461" i="5"/>
  <c r="AN45" i="5"/>
  <c r="AO45" i="5"/>
  <c r="AN113" i="5"/>
  <c r="AO113" i="5"/>
  <c r="AO403" i="5"/>
  <c r="AN403" i="5"/>
  <c r="AN496" i="5"/>
  <c r="AO496" i="5"/>
  <c r="AO399" i="5"/>
  <c r="AN399" i="5"/>
  <c r="AO234" i="5"/>
  <c r="AN234" i="5"/>
  <c r="AO472" i="5"/>
  <c r="AN472" i="5"/>
  <c r="AN44" i="5"/>
  <c r="AO44" i="5"/>
  <c r="AN367" i="5"/>
  <c r="AO367" i="5"/>
  <c r="AN506" i="5"/>
  <c r="AO506" i="5"/>
  <c r="AN208" i="5"/>
  <c r="AO208" i="5"/>
  <c r="AN465" i="5"/>
  <c r="AO465" i="5"/>
  <c r="AO511" i="5"/>
  <c r="AN511" i="5"/>
  <c r="AO256" i="5"/>
  <c r="AN256" i="5"/>
  <c r="AN197" i="5"/>
  <c r="AO197" i="5"/>
  <c r="AO122" i="5"/>
  <c r="AN122" i="5"/>
  <c r="AN436" i="5"/>
  <c r="AO436" i="5"/>
  <c r="AO167" i="5"/>
  <c r="AN167" i="5"/>
  <c r="AN76" i="5"/>
  <c r="AO76" i="5"/>
  <c r="AO341" i="5"/>
  <c r="AN341" i="5"/>
  <c r="AN86" i="5"/>
  <c r="AO86" i="5"/>
  <c r="AO210" i="5"/>
  <c r="AN210" i="5"/>
  <c r="AN305" i="5"/>
  <c r="AO305" i="5"/>
  <c r="AO57" i="5"/>
  <c r="AN57" i="5"/>
  <c r="AN83" i="5"/>
  <c r="AO83" i="5"/>
  <c r="AO268" i="5"/>
  <c r="AN268" i="5"/>
  <c r="AO117" i="5"/>
  <c r="AN117" i="5"/>
  <c r="AN156" i="5"/>
  <c r="AO156" i="5"/>
  <c r="AN285" i="5"/>
  <c r="AO285" i="5"/>
  <c r="AN414" i="5"/>
  <c r="AO414" i="5"/>
  <c r="AO518" i="5"/>
  <c r="AN518" i="5"/>
  <c r="AN74" i="5"/>
  <c r="AO74" i="5"/>
  <c r="AN443" i="5"/>
  <c r="AO443" i="5"/>
  <c r="AN242" i="5"/>
  <c r="AO242" i="5"/>
  <c r="AO507" i="5"/>
  <c r="AN507" i="5"/>
  <c r="AO71" i="5"/>
  <c r="AN71" i="5"/>
  <c r="AN282" i="5"/>
  <c r="AO282" i="5"/>
  <c r="AO201" i="5"/>
  <c r="AN201" i="5"/>
  <c r="AN445" i="5"/>
  <c r="AO445" i="5"/>
  <c r="AN277" i="5"/>
  <c r="AO277" i="5"/>
  <c r="AN133" i="5"/>
  <c r="AO133" i="5"/>
  <c r="AO31" i="5"/>
  <c r="AN31" i="5"/>
  <c r="AO171" i="5"/>
  <c r="AN171" i="5"/>
  <c r="AN48" i="5"/>
  <c r="AO48" i="5"/>
  <c r="AN539" i="5"/>
  <c r="AO539" i="5"/>
  <c r="AO224" i="5"/>
  <c r="AN224" i="5"/>
  <c r="AN124" i="5"/>
  <c r="AO124" i="5"/>
  <c r="AN374" i="5"/>
  <c r="AO374" i="5"/>
  <c r="AO380" i="5"/>
  <c r="AN380" i="5"/>
  <c r="AO182" i="5"/>
  <c r="AN182" i="5"/>
  <c r="AN418" i="5"/>
  <c r="AO418" i="5"/>
  <c r="AN226" i="5"/>
  <c r="AO226" i="5"/>
  <c r="AO376" i="5"/>
  <c r="AN376" i="5"/>
  <c r="AN288" i="5"/>
  <c r="AO288" i="5"/>
  <c r="AN546" i="5"/>
  <c r="AO546" i="5"/>
  <c r="AN322" i="5"/>
  <c r="AO322" i="5"/>
  <c r="AN429" i="5"/>
  <c r="AO429" i="5"/>
  <c r="AN139" i="5"/>
  <c r="AO139" i="5"/>
  <c r="AN373" i="5"/>
  <c r="AO373" i="5"/>
  <c r="AO467" i="5"/>
  <c r="AN467" i="5"/>
  <c r="AO430" i="5"/>
  <c r="AN430" i="5"/>
  <c r="AH216" i="5"/>
  <c r="AI216" i="5"/>
  <c r="AH424" i="5"/>
  <c r="AI424" i="5"/>
  <c r="AH51" i="5"/>
  <c r="AI51" i="5"/>
  <c r="AH286" i="5"/>
  <c r="AI286" i="5"/>
  <c r="AI417" i="5"/>
  <c r="AH417" i="5"/>
  <c r="AI421" i="5"/>
  <c r="AH421" i="5"/>
  <c r="AH414" i="5"/>
  <c r="AI414" i="5"/>
  <c r="AH550" i="5"/>
  <c r="AI550" i="5"/>
  <c r="AI464" i="5"/>
  <c r="AH464" i="5"/>
  <c r="AH406" i="5"/>
  <c r="AI406" i="5"/>
  <c r="AH198" i="5"/>
  <c r="AI198" i="5"/>
  <c r="AI31" i="5"/>
  <c r="AH31" i="5"/>
  <c r="AH74" i="5"/>
  <c r="AI74" i="5"/>
  <c r="AI549" i="5"/>
  <c r="AH549" i="5"/>
  <c r="AI385" i="5"/>
  <c r="AH385" i="5"/>
  <c r="AI23" i="5"/>
  <c r="AH23" i="5"/>
  <c r="AI265" i="5"/>
  <c r="AH265" i="5"/>
  <c r="AH296" i="5"/>
  <c r="AI296" i="5"/>
  <c r="AH548" i="5"/>
  <c r="AI548" i="5"/>
  <c r="AH358" i="5"/>
  <c r="AI358" i="5"/>
  <c r="AH212" i="5"/>
  <c r="AI212" i="5"/>
  <c r="AI103" i="5"/>
  <c r="AH103" i="5"/>
  <c r="AH268" i="5"/>
  <c r="AI268" i="5"/>
  <c r="AH152" i="5"/>
  <c r="AI152" i="5"/>
  <c r="AH518" i="5"/>
  <c r="AI518" i="5"/>
  <c r="AI178" i="5"/>
  <c r="AH178" i="5"/>
  <c r="AH78" i="5"/>
  <c r="AI78" i="5"/>
  <c r="AI291" i="5"/>
  <c r="AH291" i="5"/>
  <c r="AH389" i="5"/>
  <c r="AI389" i="5"/>
  <c r="AH69" i="5"/>
  <c r="AI69" i="5"/>
  <c r="AH283" i="5"/>
  <c r="AI283" i="5"/>
  <c r="AI50" i="5"/>
  <c r="AH50" i="5"/>
  <c r="AI174" i="5"/>
  <c r="AH174" i="5"/>
  <c r="AH146" i="5"/>
  <c r="AI146" i="5"/>
  <c r="AI499" i="5"/>
  <c r="AH499" i="5"/>
  <c r="AI382" i="5"/>
  <c r="AH382" i="5"/>
  <c r="AI63" i="5"/>
  <c r="AH63" i="5"/>
  <c r="AH319" i="5"/>
  <c r="AI319" i="5"/>
  <c r="AI59" i="5"/>
  <c r="AH59" i="5"/>
  <c r="AH10" i="5"/>
  <c r="AI10" i="5"/>
  <c r="AI253" i="5"/>
  <c r="AH253" i="5"/>
  <c r="AI317" i="5"/>
  <c r="AH317" i="5"/>
  <c r="AI462" i="5"/>
  <c r="AH462" i="5"/>
  <c r="AI425" i="5"/>
  <c r="AH425" i="5"/>
  <c r="AI87" i="5"/>
  <c r="AH87" i="5"/>
  <c r="AI447" i="5"/>
  <c r="AH447" i="5"/>
  <c r="AI21" i="5"/>
  <c r="AH21" i="5"/>
  <c r="AH493" i="5"/>
  <c r="AI493" i="5"/>
  <c r="AH519" i="5"/>
  <c r="AI519" i="5"/>
  <c r="AI43" i="5"/>
  <c r="AH43" i="5"/>
  <c r="AH36" i="5"/>
  <c r="AI36" i="5"/>
  <c r="AI239" i="5"/>
  <c r="AH239" i="5"/>
  <c r="AI233" i="5"/>
  <c r="AH233" i="5"/>
  <c r="AH405" i="5"/>
  <c r="AI405" i="5"/>
  <c r="AH48" i="5"/>
  <c r="AI48" i="5"/>
  <c r="AH136" i="5"/>
  <c r="AI136" i="5"/>
  <c r="AH208" i="5"/>
  <c r="AI208" i="5"/>
  <c r="AH82" i="5"/>
  <c r="AI82" i="5"/>
  <c r="AH354" i="5"/>
  <c r="AI354" i="5"/>
  <c r="AH259" i="5"/>
  <c r="AI259" i="5"/>
  <c r="AH34" i="5"/>
  <c r="AI34" i="5"/>
  <c r="AH292" i="5"/>
  <c r="AI292" i="5"/>
  <c r="AH439" i="5"/>
  <c r="AI439" i="5"/>
  <c r="AH189" i="5"/>
  <c r="AI189" i="5"/>
  <c r="AI560" i="5"/>
  <c r="AH560" i="5"/>
  <c r="AI230" i="5"/>
  <c r="AH230" i="5"/>
  <c r="AH121" i="5"/>
  <c r="AI121" i="5"/>
  <c r="AH541" i="5"/>
  <c r="AI541" i="5"/>
  <c r="AI408" i="5"/>
  <c r="AH408" i="5"/>
  <c r="AH330" i="5"/>
  <c r="AI330" i="5"/>
  <c r="AH41" i="5"/>
  <c r="AI41" i="5"/>
  <c r="AI391" i="5"/>
  <c r="AH391" i="5"/>
  <c r="AH244" i="5"/>
  <c r="AI244" i="5"/>
  <c r="AI166" i="5"/>
  <c r="AH166" i="5"/>
  <c r="AI282" i="5"/>
  <c r="AH282" i="5"/>
  <c r="AI100" i="5"/>
  <c r="AH100" i="5"/>
  <c r="AI221" i="5"/>
  <c r="AH221" i="5"/>
  <c r="AH433" i="5"/>
  <c r="AI433" i="5"/>
  <c r="AI273" i="5"/>
  <c r="AH273" i="5"/>
  <c r="AH278" i="5"/>
  <c r="AI278" i="5"/>
  <c r="AI177" i="5"/>
  <c r="AH177" i="5"/>
  <c r="AI285" i="5"/>
  <c r="AH285" i="5"/>
  <c r="AI465" i="5"/>
  <c r="AH465" i="5"/>
  <c r="AH306" i="5"/>
  <c r="AI306" i="5"/>
  <c r="AI372" i="5"/>
  <c r="AH372" i="5"/>
  <c r="AI399" i="5"/>
  <c r="AH399" i="5"/>
  <c r="AH318" i="5"/>
  <c r="AI318" i="5"/>
  <c r="AH106" i="5"/>
  <c r="AI106" i="5"/>
  <c r="AH478" i="5"/>
  <c r="AI478" i="5"/>
  <c r="AH466" i="5"/>
  <c r="AI466" i="5"/>
  <c r="AH434" i="5"/>
  <c r="AI434" i="5"/>
  <c r="AH556" i="5"/>
  <c r="AI556" i="5"/>
  <c r="AI394" i="5"/>
  <c r="AH394" i="5"/>
  <c r="AI235" i="5"/>
  <c r="AH235" i="5"/>
  <c r="AH445" i="5"/>
  <c r="AI445" i="5"/>
  <c r="AH476" i="5"/>
  <c r="AI476" i="5"/>
  <c r="AI80" i="5"/>
  <c r="AH80" i="5"/>
  <c r="AH498" i="5"/>
  <c r="AI498" i="5"/>
  <c r="AI105" i="5"/>
  <c r="AH105" i="5"/>
  <c r="AI241" i="5"/>
  <c r="AH241" i="5"/>
  <c r="AI131" i="5"/>
  <c r="AH131" i="5"/>
  <c r="AI42" i="5"/>
  <c r="AH42" i="5"/>
  <c r="AI412" i="5"/>
  <c r="AH412" i="5"/>
  <c r="AI303" i="5"/>
  <c r="AH303" i="5"/>
  <c r="AI453" i="5"/>
  <c r="AH453" i="5"/>
  <c r="AI365" i="5"/>
  <c r="AH365" i="5"/>
  <c r="AH336" i="5"/>
  <c r="AI336" i="5"/>
  <c r="AI437" i="5"/>
  <c r="AH437" i="5"/>
  <c r="AH224" i="5"/>
  <c r="AI224" i="5"/>
  <c r="AH187" i="5"/>
  <c r="AI187" i="5"/>
  <c r="AH361" i="5"/>
  <c r="AI361" i="5"/>
  <c r="AI290" i="5"/>
  <c r="AH290" i="5"/>
  <c r="AI467" i="5"/>
  <c r="AH467" i="5"/>
  <c r="AH504" i="5"/>
  <c r="AI504" i="5"/>
  <c r="AH521" i="5"/>
  <c r="AI521" i="5"/>
  <c r="AI344" i="5"/>
  <c r="AH344" i="5"/>
  <c r="AH407" i="5"/>
  <c r="AI407" i="5"/>
  <c r="AH506" i="5"/>
  <c r="AI506" i="5"/>
  <c r="AH331" i="5"/>
  <c r="AI331" i="5"/>
  <c r="AH81" i="5"/>
  <c r="AI81" i="5"/>
  <c r="AH510" i="5"/>
  <c r="AI510" i="5"/>
  <c r="AH364" i="5"/>
  <c r="AI364" i="5"/>
  <c r="AI269" i="5"/>
  <c r="AH269" i="5"/>
  <c r="AH143" i="5"/>
  <c r="AI143" i="5"/>
  <c r="AI355" i="5"/>
  <c r="AH355" i="5"/>
  <c r="AH66" i="5"/>
  <c r="AI66" i="5"/>
  <c r="AI378" i="5"/>
  <c r="AH378" i="5"/>
  <c r="AH321" i="5"/>
  <c r="AI321" i="5"/>
  <c r="AI483" i="5"/>
  <c r="AH483" i="5"/>
  <c r="AH274" i="5"/>
  <c r="AI274" i="5"/>
  <c r="AI213" i="5"/>
  <c r="AH213" i="5"/>
  <c r="AI298" i="5"/>
  <c r="AH298" i="5"/>
  <c r="AI192" i="5"/>
  <c r="AH192" i="5"/>
  <c r="AH164" i="5"/>
  <c r="AI164" i="5"/>
  <c r="AI158" i="5"/>
  <c r="AH158" i="5"/>
  <c r="AH367" i="5"/>
  <c r="AI367" i="5"/>
  <c r="AI393" i="5"/>
  <c r="AH393" i="5"/>
  <c r="AE101" i="4"/>
  <c r="AH101" i="4"/>
  <c r="AH7" i="4"/>
  <c r="AE7" i="4"/>
  <c r="Z7" i="4"/>
  <c r="X7" i="4" s="1"/>
  <c r="AJ7" i="4" s="1"/>
  <c r="AO9" i="5"/>
  <c r="AN9" i="5"/>
  <c r="AA9" i="5"/>
  <c r="AB9" i="5"/>
  <c r="U9" i="5"/>
  <c r="V9" i="5"/>
  <c r="AO78" i="5"/>
  <c r="AN78" i="5"/>
  <c r="AO551" i="5"/>
  <c r="AN551" i="5"/>
  <c r="AN251" i="5"/>
  <c r="AO251" i="5"/>
  <c r="AN104" i="5"/>
  <c r="AO104" i="5"/>
  <c r="AN355" i="5"/>
  <c r="AO355" i="5"/>
  <c r="AO162" i="5"/>
  <c r="AN162" i="5"/>
  <c r="AO200" i="5"/>
  <c r="AN200" i="5"/>
  <c r="AN30" i="5"/>
  <c r="AO30" i="5"/>
  <c r="AO62" i="5"/>
  <c r="AN62" i="5"/>
  <c r="AO41" i="5"/>
  <c r="AN41" i="5"/>
  <c r="AO452" i="5"/>
  <c r="AN452" i="5"/>
  <c r="AO265" i="5"/>
  <c r="AN265" i="5"/>
  <c r="AN143" i="5"/>
  <c r="AO143" i="5"/>
  <c r="AO72" i="5"/>
  <c r="AN72" i="5"/>
  <c r="AO164" i="5"/>
  <c r="AN164" i="5"/>
  <c r="AO152" i="5"/>
  <c r="AN152" i="5"/>
  <c r="AO312" i="5"/>
  <c r="AN312" i="5"/>
  <c r="AO448" i="5"/>
  <c r="AN448" i="5"/>
  <c r="AN479" i="5"/>
  <c r="AO479" i="5"/>
  <c r="AN276" i="5"/>
  <c r="AO276" i="5"/>
  <c r="AN425" i="5"/>
  <c r="AO425" i="5"/>
  <c r="AO313" i="5"/>
  <c r="AN313" i="5"/>
  <c r="AO195" i="5"/>
  <c r="AN195" i="5"/>
  <c r="AO69" i="5"/>
  <c r="AN69" i="5"/>
  <c r="AN281" i="5"/>
  <c r="AO281" i="5"/>
  <c r="AO326" i="5"/>
  <c r="AN326" i="5"/>
  <c r="AN301" i="5"/>
  <c r="AO301" i="5"/>
  <c r="AO98" i="5"/>
  <c r="AN98" i="5"/>
  <c r="AN311" i="5"/>
  <c r="AO311" i="5"/>
  <c r="AN547" i="5"/>
  <c r="AO547" i="5"/>
  <c r="AO402" i="5"/>
  <c r="AN402" i="5"/>
  <c r="AN334" i="5"/>
  <c r="AO334" i="5"/>
  <c r="AN318" i="5"/>
  <c r="AO318" i="5"/>
  <c r="AO290" i="5"/>
  <c r="AN290" i="5"/>
  <c r="AN552" i="5"/>
  <c r="AO552" i="5"/>
  <c r="AO249" i="5"/>
  <c r="AN249" i="5"/>
  <c r="AO530" i="5"/>
  <c r="AN530" i="5"/>
  <c r="AO362" i="5"/>
  <c r="AN362" i="5"/>
  <c r="AN439" i="5"/>
  <c r="AO439" i="5"/>
  <c r="AO36" i="5"/>
  <c r="AN36" i="5"/>
  <c r="AN169" i="5"/>
  <c r="AO169" i="5"/>
  <c r="AN145" i="5"/>
  <c r="AO145" i="5"/>
  <c r="AN556" i="5"/>
  <c r="AO556" i="5"/>
  <c r="AN264" i="5"/>
  <c r="AO264" i="5"/>
  <c r="AO297" i="5"/>
  <c r="AN297" i="5"/>
  <c r="AO85" i="5"/>
  <c r="AN85" i="5"/>
  <c r="AO456" i="5"/>
  <c r="AN456" i="5"/>
  <c r="AO434" i="5"/>
  <c r="AN434" i="5"/>
  <c r="AO342" i="5"/>
  <c r="AN342" i="5"/>
  <c r="AO437" i="5"/>
  <c r="AN437" i="5"/>
  <c r="AO110" i="5"/>
  <c r="AN110" i="5"/>
  <c r="AO369" i="5"/>
  <c r="AN369" i="5"/>
  <c r="AO299" i="5"/>
  <c r="AN299" i="5"/>
  <c r="AO228" i="5"/>
  <c r="AN228" i="5"/>
  <c r="AO324" i="5"/>
  <c r="AN324" i="5"/>
  <c r="AN32" i="5"/>
  <c r="AO32" i="5"/>
  <c r="AO155" i="5"/>
  <c r="AN155" i="5"/>
  <c r="AN116" i="5"/>
  <c r="AO116" i="5"/>
  <c r="AN125" i="5"/>
  <c r="AO125" i="5"/>
  <c r="AO56" i="5"/>
  <c r="AN56" i="5"/>
  <c r="AN146" i="5"/>
  <c r="AO146" i="5"/>
  <c r="AN136" i="5"/>
  <c r="AO136" i="5"/>
  <c r="AN179" i="5"/>
  <c r="AO179" i="5"/>
  <c r="AO340" i="5"/>
  <c r="AN340" i="5"/>
  <c r="AN66" i="5"/>
  <c r="AO66" i="5"/>
  <c r="AN455" i="5"/>
  <c r="AO455" i="5"/>
  <c r="AN283" i="5"/>
  <c r="AO283" i="5"/>
  <c r="AO320" i="5"/>
  <c r="AN320" i="5"/>
  <c r="AN343" i="5"/>
  <c r="AO343" i="5"/>
  <c r="AN335" i="5"/>
  <c r="AO335" i="5"/>
  <c r="AN90" i="5"/>
  <c r="AO90" i="5"/>
  <c r="AO510" i="5"/>
  <c r="AN510" i="5"/>
  <c r="AO158" i="5"/>
  <c r="AN158" i="5"/>
  <c r="AN352" i="5"/>
  <c r="AO352" i="5"/>
  <c r="AN554" i="5"/>
  <c r="AO554" i="5"/>
  <c r="AN338" i="5"/>
  <c r="AO338" i="5"/>
  <c r="AO475" i="5"/>
  <c r="AN475" i="5"/>
  <c r="AO247" i="5"/>
  <c r="AN247" i="5"/>
  <c r="AO505" i="5"/>
  <c r="AN505" i="5"/>
  <c r="AO203" i="5"/>
  <c r="AN203" i="5"/>
  <c r="AN460" i="5"/>
  <c r="AO460" i="5"/>
  <c r="AO384" i="5"/>
  <c r="AN384" i="5"/>
  <c r="AN468" i="5"/>
  <c r="AO468" i="5"/>
  <c r="AO492" i="5"/>
  <c r="AN492" i="5"/>
  <c r="AN470" i="5"/>
  <c r="AO470" i="5"/>
  <c r="AN300" i="5"/>
  <c r="AO300" i="5"/>
  <c r="AN532" i="5"/>
  <c r="AO532" i="5"/>
  <c r="AN498" i="5"/>
  <c r="AO498" i="5"/>
  <c r="AN527" i="5"/>
  <c r="AO527" i="5"/>
  <c r="AN360" i="5"/>
  <c r="AO360" i="5"/>
  <c r="AO185" i="5"/>
  <c r="AN185" i="5"/>
  <c r="AO180" i="5"/>
  <c r="AN180" i="5"/>
  <c r="AO422" i="5"/>
  <c r="AN422" i="5"/>
  <c r="AN103" i="5"/>
  <c r="AO103" i="5"/>
  <c r="AO331" i="5"/>
  <c r="AN331" i="5"/>
  <c r="AO93" i="5"/>
  <c r="AN93" i="5"/>
  <c r="AN199" i="5"/>
  <c r="AO199" i="5"/>
  <c r="AN407" i="5"/>
  <c r="AO407" i="5"/>
  <c r="AO435" i="5"/>
  <c r="AN435" i="5"/>
  <c r="AN24" i="5"/>
  <c r="AO24" i="5"/>
  <c r="AN520" i="5"/>
  <c r="AO520" i="5"/>
  <c r="AN218" i="5"/>
  <c r="AO218" i="5"/>
  <c r="AN323" i="5"/>
  <c r="AO323" i="5"/>
  <c r="AN388" i="5"/>
  <c r="AO388" i="5"/>
  <c r="AO392" i="5"/>
  <c r="AN392" i="5"/>
  <c r="AN168" i="5"/>
  <c r="AO168" i="5"/>
  <c r="AO549" i="5"/>
  <c r="AN549" i="5"/>
  <c r="AO466" i="5"/>
  <c r="AN466" i="5"/>
  <c r="AO205" i="5"/>
  <c r="AN205" i="5"/>
  <c r="AO501" i="5"/>
  <c r="AN501" i="5"/>
  <c r="AN70" i="5"/>
  <c r="AO70" i="5"/>
  <c r="AO126" i="5"/>
  <c r="AN126" i="5"/>
  <c r="AN296" i="5"/>
  <c r="AO296" i="5"/>
  <c r="AN381" i="5"/>
  <c r="AO381" i="5"/>
  <c r="AO315" i="5"/>
  <c r="AN315" i="5"/>
  <c r="AO191" i="5"/>
  <c r="AN191" i="5"/>
  <c r="AN96" i="5"/>
  <c r="AO96" i="5"/>
  <c r="AO147" i="5"/>
  <c r="AN147" i="5"/>
  <c r="AN204" i="5"/>
  <c r="AO204" i="5"/>
  <c r="AN142" i="5"/>
  <c r="AO142" i="5"/>
  <c r="AN269" i="5"/>
  <c r="AO269" i="5"/>
  <c r="AO487" i="5"/>
  <c r="AN487" i="5"/>
  <c r="AN350" i="5"/>
  <c r="AO350" i="5"/>
  <c r="AO405" i="5"/>
  <c r="AN405" i="5"/>
  <c r="AN278" i="5"/>
  <c r="AO278" i="5"/>
  <c r="AO51" i="5"/>
  <c r="AN51" i="5"/>
  <c r="AO364" i="5"/>
  <c r="AN364" i="5"/>
  <c r="AN307" i="5"/>
  <c r="AO307" i="5"/>
  <c r="AN321" i="5"/>
  <c r="AO321" i="5"/>
  <c r="AO298" i="5"/>
  <c r="AN298" i="5"/>
  <c r="AO221" i="5"/>
  <c r="AN221" i="5"/>
  <c r="AO212" i="5"/>
  <c r="AN212" i="5"/>
  <c r="AN40" i="5"/>
  <c r="AO40" i="5"/>
  <c r="AO235" i="5"/>
  <c r="AN235" i="5"/>
  <c r="AN280" i="5"/>
  <c r="AO280" i="5"/>
  <c r="AN232" i="5"/>
  <c r="AO232" i="5"/>
  <c r="AH218" i="5"/>
  <c r="AI218" i="5"/>
  <c r="AI343" i="5"/>
  <c r="AH343" i="5"/>
  <c r="AI299" i="5"/>
  <c r="AH299" i="5"/>
  <c r="AH398" i="5"/>
  <c r="AI398" i="5"/>
  <c r="AI423" i="5"/>
  <c r="AH423" i="5"/>
  <c r="AI480" i="5"/>
  <c r="AH480" i="5"/>
  <c r="AI288" i="5"/>
  <c r="AH288" i="5"/>
  <c r="AI326" i="5"/>
  <c r="AH326" i="5"/>
  <c r="AH376" i="5"/>
  <c r="AI376" i="5"/>
  <c r="AI551" i="5"/>
  <c r="AH551" i="5"/>
  <c r="AI454" i="5"/>
  <c r="AH454" i="5"/>
  <c r="AI479" i="5"/>
  <c r="AH479" i="5"/>
  <c r="AH83" i="5"/>
  <c r="AI83" i="5"/>
  <c r="AH210" i="5"/>
  <c r="AI210" i="5"/>
  <c r="AI297" i="5"/>
  <c r="AH297" i="5"/>
  <c r="AI217" i="5"/>
  <c r="AH217" i="5"/>
  <c r="AH38" i="5"/>
  <c r="AI38" i="5"/>
  <c r="AI127" i="5"/>
  <c r="AH127" i="5"/>
  <c r="AI522" i="5"/>
  <c r="AH522" i="5"/>
  <c r="AI234" i="5"/>
  <c r="AH234" i="5"/>
  <c r="AI488" i="5"/>
  <c r="AH488" i="5"/>
  <c r="AI323" i="5"/>
  <c r="AH323" i="5"/>
  <c r="AH118" i="5"/>
  <c r="AI118" i="5"/>
  <c r="AH153" i="5"/>
  <c r="AI153" i="5"/>
  <c r="AI539" i="5"/>
  <c r="AH539" i="5"/>
  <c r="AI200" i="5"/>
  <c r="AH200" i="5"/>
  <c r="AI167" i="5"/>
  <c r="AH167" i="5"/>
  <c r="AI222" i="5"/>
  <c r="AH222" i="5"/>
  <c r="AI333" i="5"/>
  <c r="AH333" i="5"/>
  <c r="AI156" i="5"/>
  <c r="AH156" i="5"/>
  <c r="AH231" i="5"/>
  <c r="AI231" i="5"/>
  <c r="AH473" i="5"/>
  <c r="AI473" i="5"/>
  <c r="AI443" i="5"/>
  <c r="AH443" i="5"/>
  <c r="AI313" i="5"/>
  <c r="AH313" i="5"/>
  <c r="AH312" i="5"/>
  <c r="AI312" i="5"/>
  <c r="AI151" i="5"/>
  <c r="AH151" i="5"/>
  <c r="AH419" i="5"/>
  <c r="AI419" i="5"/>
  <c r="AH175" i="5"/>
  <c r="AI175" i="5"/>
  <c r="AH209" i="5"/>
  <c r="AI209" i="5"/>
  <c r="AH141" i="5"/>
  <c r="AI141" i="5"/>
  <c r="AI486" i="5"/>
  <c r="AH486" i="5"/>
  <c r="AH128" i="5"/>
  <c r="AI128" i="5"/>
  <c r="AH557" i="5"/>
  <c r="AI557" i="5"/>
  <c r="AI359" i="5"/>
  <c r="AH359" i="5"/>
  <c r="AH520" i="5"/>
  <c r="AI520" i="5"/>
  <c r="AI240" i="5"/>
  <c r="AH240" i="5"/>
  <c r="AI435" i="5"/>
  <c r="AH435" i="5"/>
  <c r="AI490" i="5"/>
  <c r="AH490" i="5"/>
  <c r="AH469" i="5"/>
  <c r="AI469" i="5"/>
  <c r="AI432" i="5"/>
  <c r="AH432" i="5"/>
  <c r="AI92" i="5"/>
  <c r="AH92" i="5"/>
  <c r="AH67" i="5"/>
  <c r="AI67" i="5"/>
  <c r="AH58" i="5"/>
  <c r="AI58" i="5"/>
  <c r="AH257" i="5"/>
  <c r="AI257" i="5"/>
  <c r="AI62" i="5"/>
  <c r="AH62" i="5"/>
  <c r="AI272" i="5"/>
  <c r="AH272" i="5"/>
  <c r="AI456" i="5"/>
  <c r="AH456" i="5"/>
  <c r="AI307" i="5"/>
  <c r="AH307" i="5"/>
  <c r="AH26" i="5"/>
  <c r="AI26" i="5"/>
  <c r="AI339" i="5"/>
  <c r="AH339" i="5"/>
  <c r="AI397" i="5"/>
  <c r="AH397" i="5"/>
  <c r="AI119" i="5"/>
  <c r="AH119" i="5"/>
  <c r="AI380" i="5"/>
  <c r="AH380" i="5"/>
  <c r="AI293" i="5"/>
  <c r="AH293" i="5"/>
  <c r="AH287" i="5"/>
  <c r="AI287" i="5"/>
  <c r="AI289" i="5"/>
  <c r="AH289" i="5"/>
  <c r="AH64" i="5"/>
  <c r="AI64" i="5"/>
  <c r="AH554" i="5"/>
  <c r="AI554" i="5"/>
  <c r="AH470" i="5"/>
  <c r="AI470" i="5"/>
  <c r="AH206" i="5"/>
  <c r="AI206" i="5"/>
  <c r="AI132" i="5"/>
  <c r="AH132" i="5"/>
  <c r="AI196" i="5"/>
  <c r="AH196" i="5"/>
  <c r="AH114" i="5"/>
  <c r="AI114" i="5"/>
  <c r="AH203" i="5"/>
  <c r="AI203" i="5"/>
  <c r="AI426" i="5"/>
  <c r="AH426" i="5"/>
  <c r="AH228" i="5"/>
  <c r="AI228" i="5"/>
  <c r="AI370" i="5"/>
  <c r="AH370" i="5"/>
  <c r="AH53" i="5"/>
  <c r="AI53" i="5"/>
  <c r="AI507" i="5"/>
  <c r="AH507" i="5"/>
  <c r="AI438" i="5"/>
  <c r="AH438" i="5"/>
  <c r="AI440" i="5"/>
  <c r="AH440" i="5"/>
  <c r="AI535" i="5"/>
  <c r="AH535" i="5"/>
  <c r="AI147" i="5"/>
  <c r="AH147" i="5"/>
  <c r="AI310" i="5"/>
  <c r="AH310" i="5"/>
  <c r="AH20" i="5"/>
  <c r="AI20" i="5"/>
  <c r="AH138" i="5"/>
  <c r="AI138" i="5"/>
  <c r="AH379" i="5"/>
  <c r="AI379" i="5"/>
  <c r="AI404" i="5"/>
  <c r="AH404" i="5"/>
  <c r="AH350" i="5"/>
  <c r="AI350" i="5"/>
  <c r="AH140" i="5"/>
  <c r="AI140" i="5"/>
  <c r="AI160" i="5"/>
  <c r="AH160" i="5"/>
  <c r="AH388" i="5"/>
  <c r="AI388" i="5"/>
  <c r="AH315" i="5"/>
  <c r="AI315" i="5"/>
  <c r="AH517" i="5"/>
  <c r="AI517" i="5"/>
  <c r="AI39" i="5"/>
  <c r="AH39" i="5"/>
  <c r="AH512" i="5"/>
  <c r="AI512" i="5"/>
  <c r="AH442" i="5"/>
  <c r="AI442" i="5"/>
  <c r="AI27" i="5"/>
  <c r="AH27" i="5"/>
  <c r="AH371" i="5"/>
  <c r="AI371" i="5"/>
  <c r="AI444" i="5"/>
  <c r="AH444" i="5"/>
  <c r="AH341" i="5"/>
  <c r="AI341" i="5"/>
  <c r="AH85" i="5"/>
  <c r="AI85" i="5"/>
  <c r="AI402" i="5"/>
  <c r="AH402" i="5"/>
  <c r="AI215" i="5"/>
  <c r="AH215" i="5"/>
  <c r="AI515" i="5"/>
  <c r="AH515" i="5"/>
  <c r="AI526" i="5"/>
  <c r="AH526" i="5"/>
  <c r="AH534" i="5"/>
  <c r="AI534" i="5"/>
  <c r="AH40" i="5"/>
  <c r="AI40" i="5"/>
  <c r="AI173" i="5"/>
  <c r="AH173" i="5"/>
  <c r="AH52" i="5"/>
  <c r="AI52" i="5"/>
  <c r="AI226" i="5"/>
  <c r="AH226" i="5"/>
  <c r="AH267" i="5"/>
  <c r="AI267" i="5"/>
  <c r="AI420" i="5"/>
  <c r="AH420" i="5"/>
  <c r="AH502" i="5"/>
  <c r="AI502" i="5"/>
  <c r="AI163" i="5"/>
  <c r="AH163" i="5"/>
  <c r="AI54" i="5"/>
  <c r="AH54" i="5"/>
  <c r="AI415" i="5"/>
  <c r="AH415" i="5"/>
  <c r="AH261" i="5"/>
  <c r="AI261" i="5"/>
  <c r="AI458" i="5"/>
  <c r="AH458" i="5"/>
  <c r="AI459" i="5"/>
  <c r="AH459" i="5"/>
  <c r="AH199" i="5"/>
  <c r="AI199" i="5"/>
  <c r="AH496" i="5"/>
  <c r="AI496" i="5"/>
  <c r="AH451" i="5"/>
  <c r="AI451" i="5"/>
  <c r="AI468" i="5"/>
  <c r="AH468" i="5"/>
  <c r="AH35" i="5"/>
  <c r="AI35" i="5"/>
  <c r="AH195" i="5"/>
  <c r="AI195" i="5"/>
  <c r="AI116" i="5"/>
  <c r="AH116" i="5"/>
  <c r="AI416" i="5"/>
  <c r="AH416" i="5"/>
  <c r="AH236" i="5"/>
  <c r="AI236" i="5"/>
  <c r="AH448" i="5"/>
  <c r="AI448" i="5"/>
  <c r="AI186" i="5"/>
  <c r="AH186" i="5"/>
  <c r="AI112" i="5"/>
  <c r="AH112" i="5"/>
  <c r="AI411" i="5"/>
  <c r="AH411" i="5"/>
  <c r="AH134" i="5"/>
  <c r="AI134" i="5"/>
  <c r="AI247" i="5"/>
  <c r="AH247" i="5"/>
  <c r="AI220" i="5"/>
  <c r="AH220" i="5"/>
  <c r="AI96" i="5"/>
  <c r="AH96" i="5"/>
  <c r="AH21" i="4"/>
  <c r="AE21" i="4"/>
  <c r="Z21" i="4"/>
  <c r="X21" i="4" s="1"/>
  <c r="AJ21" i="4" s="1"/>
  <c r="AH19" i="4"/>
  <c r="AE19" i="4"/>
  <c r="Z19" i="4"/>
  <c r="X19" i="4" s="1"/>
  <c r="AJ19" i="4" s="1"/>
  <c r="AH111" i="4"/>
  <c r="AE111" i="4"/>
  <c r="AH13" i="4"/>
  <c r="Z13" i="4"/>
  <c r="X13" i="4" s="1"/>
  <c r="AJ13" i="4" s="1"/>
  <c r="AE13" i="4"/>
  <c r="AH92" i="4"/>
  <c r="AE92" i="4"/>
  <c r="AH133" i="4"/>
  <c r="AE133" i="4"/>
  <c r="AH38" i="4"/>
  <c r="AE38" i="4"/>
  <c r="Z38" i="4"/>
  <c r="AA38" i="4"/>
  <c r="AE127" i="4"/>
  <c r="AH127" i="4"/>
  <c r="AE18" i="4"/>
  <c r="AH18" i="4"/>
  <c r="Z18" i="4"/>
  <c r="X18" i="4" s="1"/>
  <c r="AJ18" i="4" s="1"/>
  <c r="AE156" i="4"/>
  <c r="AH156" i="4"/>
  <c r="AH77" i="4"/>
  <c r="AE77" i="4"/>
  <c r="AH40" i="4"/>
  <c r="AE40" i="4"/>
  <c r="Z40" i="4"/>
  <c r="AE22" i="4"/>
  <c r="AH22" i="4"/>
  <c r="Z22" i="4"/>
  <c r="X22" i="4" s="1"/>
  <c r="AJ22" i="4" s="1"/>
  <c r="AH125" i="4"/>
  <c r="AE125" i="4"/>
  <c r="AE115" i="4"/>
  <c r="AH115" i="4"/>
  <c r="AA115" i="4"/>
  <c r="Z115" i="4"/>
  <c r="AH134" i="4"/>
  <c r="AE134" i="4"/>
  <c r="AE11" i="4"/>
  <c r="AH11" i="4"/>
  <c r="Z11" i="4"/>
  <c r="X11" i="4" s="1"/>
  <c r="AJ11" i="4" s="1"/>
  <c r="AH154" i="4"/>
  <c r="AE154" i="4"/>
  <c r="AH143" i="4"/>
  <c r="AE143" i="4"/>
  <c r="AE52" i="4"/>
  <c r="AH52" i="4"/>
  <c r="Z52" i="4"/>
  <c r="X52" i="4" s="1"/>
  <c r="AH17" i="4"/>
  <c r="Z17" i="4"/>
  <c r="X17" i="4" s="1"/>
  <c r="AA17" i="4" s="1"/>
  <c r="AE17" i="4"/>
  <c r="AH132" i="4"/>
  <c r="Z132" i="4"/>
  <c r="AE132" i="4"/>
  <c r="AA132" i="4"/>
  <c r="AH86" i="4"/>
  <c r="AE86" i="4"/>
  <c r="AH90" i="4"/>
  <c r="AE90" i="4"/>
  <c r="AH45" i="4"/>
  <c r="Z45" i="4"/>
  <c r="AE45" i="4"/>
  <c r="AH107" i="4"/>
  <c r="AA107" i="4"/>
  <c r="Z107" i="4"/>
  <c r="AE107" i="4"/>
  <c r="AP127" i="5"/>
  <c r="AP500" i="5"/>
  <c r="AP524" i="5"/>
  <c r="AH61" i="4"/>
  <c r="AE61" i="4"/>
  <c r="AE141" i="4"/>
  <c r="AH141" i="4"/>
  <c r="AE33" i="4"/>
  <c r="Z33" i="4"/>
  <c r="X33" i="4" s="1"/>
  <c r="AH33" i="4"/>
  <c r="AH44" i="4"/>
  <c r="AE44" i="4"/>
  <c r="Z44" i="4"/>
  <c r="X44" i="4" s="1"/>
  <c r="AJ44" i="4" s="1"/>
  <c r="AE30" i="4"/>
  <c r="Z30" i="4"/>
  <c r="X30" i="4" s="1"/>
  <c r="AH30" i="4"/>
  <c r="AH15" i="4"/>
  <c r="AE15" i="4"/>
  <c r="Z15" i="4"/>
  <c r="X15" i="4" s="1"/>
  <c r="AJ15" i="4" s="1"/>
  <c r="AH8" i="4"/>
  <c r="Z8" i="4"/>
  <c r="X8" i="4" s="1"/>
  <c r="AJ8" i="4" s="1"/>
  <c r="AE8" i="4"/>
  <c r="AA147" i="4"/>
  <c r="AE147" i="4"/>
  <c r="Z147" i="4"/>
  <c r="AH147" i="4"/>
  <c r="AH137" i="4"/>
  <c r="AE137" i="4"/>
  <c r="AE28" i="4"/>
  <c r="Z28" i="4"/>
  <c r="X28" i="4" s="1"/>
  <c r="AH28" i="4"/>
  <c r="AE151" i="4"/>
  <c r="AH151" i="4"/>
  <c r="AU9" i="5"/>
  <c r="AV9" i="5"/>
  <c r="BC9" i="5"/>
  <c r="BB9" i="5"/>
  <c r="BA9" i="5"/>
  <c r="X9" i="5"/>
  <c r="Y9" i="5"/>
  <c r="AN397" i="5"/>
  <c r="AO397" i="5"/>
  <c r="AN237" i="5"/>
  <c r="AO237" i="5"/>
  <c r="AO37" i="5"/>
  <c r="AN37" i="5"/>
  <c r="AN558" i="5"/>
  <c r="AO558" i="5"/>
  <c r="AN166" i="5"/>
  <c r="AO166" i="5"/>
  <c r="AN404" i="5"/>
  <c r="AO404" i="5"/>
  <c r="AN187" i="5"/>
  <c r="AO187" i="5"/>
  <c r="AN216" i="5"/>
  <c r="AO216" i="5"/>
  <c r="AO420" i="5"/>
  <c r="AN420" i="5"/>
  <c r="AN427" i="5"/>
  <c r="AO427" i="5"/>
  <c r="AO447" i="5"/>
  <c r="AN447" i="5"/>
  <c r="AO286" i="5"/>
  <c r="AN286" i="5"/>
  <c r="AN473" i="5"/>
  <c r="AO473" i="5"/>
  <c r="AO503" i="5"/>
  <c r="AN503" i="5"/>
  <c r="AN202" i="5"/>
  <c r="AO202" i="5"/>
  <c r="AN215" i="5"/>
  <c r="AO215" i="5"/>
  <c r="AN177" i="5"/>
  <c r="AO177" i="5"/>
  <c r="AN328" i="5"/>
  <c r="AO328" i="5"/>
  <c r="AN306" i="5"/>
  <c r="AO306" i="5"/>
  <c r="AN421" i="5"/>
  <c r="AO421" i="5"/>
  <c r="AO109" i="5"/>
  <c r="AN109" i="5"/>
  <c r="AN545" i="5"/>
  <c r="AO545" i="5"/>
  <c r="AN344" i="5"/>
  <c r="AO344" i="5"/>
  <c r="AN491" i="5"/>
  <c r="AO491" i="5"/>
  <c r="AO512" i="5"/>
  <c r="AN512" i="5"/>
  <c r="AO544" i="5"/>
  <c r="AN544" i="5"/>
  <c r="AO134" i="5"/>
  <c r="AN134" i="5"/>
  <c r="AN433" i="5"/>
  <c r="AO433" i="5"/>
  <c r="AN22" i="5"/>
  <c r="AO22" i="5"/>
  <c r="AN181" i="5"/>
  <c r="AO181" i="5"/>
  <c r="AO555" i="5"/>
  <c r="AN555" i="5"/>
  <c r="AO262" i="5"/>
  <c r="AN262" i="5"/>
  <c r="AN410" i="5"/>
  <c r="AO410" i="5"/>
  <c r="AN502" i="5"/>
  <c r="AO502" i="5"/>
  <c r="AN233" i="5"/>
  <c r="AO233" i="5"/>
  <c r="AN319" i="5"/>
  <c r="AO319" i="5"/>
  <c r="AN457" i="5"/>
  <c r="AO457" i="5"/>
  <c r="AN304" i="5"/>
  <c r="AO304" i="5"/>
  <c r="AO46" i="5"/>
  <c r="AN46" i="5"/>
  <c r="AN400" i="5"/>
  <c r="AO400" i="5"/>
  <c r="AN398" i="5"/>
  <c r="AO398" i="5"/>
  <c r="AO440" i="5"/>
  <c r="AN440" i="5"/>
  <c r="AO198" i="5"/>
  <c r="AN198" i="5"/>
  <c r="AN34" i="5"/>
  <c r="AO34" i="5"/>
  <c r="AO64" i="5"/>
  <c r="AN64" i="5"/>
  <c r="AN50" i="5"/>
  <c r="AO50" i="5"/>
  <c r="AN431" i="5"/>
  <c r="AO431" i="5"/>
  <c r="AO542" i="5"/>
  <c r="AN542" i="5"/>
  <c r="AO206" i="5"/>
  <c r="AN206" i="5"/>
  <c r="AO370" i="5"/>
  <c r="AN370" i="5"/>
  <c r="AO499" i="5"/>
  <c r="AN499" i="5"/>
  <c r="AN10" i="5"/>
  <c r="AO10" i="5"/>
  <c r="AO481" i="5"/>
  <c r="AN481" i="5"/>
  <c r="AO239" i="5"/>
  <c r="AN239" i="5"/>
  <c r="AO263" i="5"/>
  <c r="AN263" i="5"/>
  <c r="AO258" i="5"/>
  <c r="AN258" i="5"/>
  <c r="AO55" i="5"/>
  <c r="AN55" i="5"/>
  <c r="AN255" i="5"/>
  <c r="AO255" i="5"/>
  <c r="AN112" i="5"/>
  <c r="AO112" i="5"/>
  <c r="AO332" i="5"/>
  <c r="AN332" i="5"/>
  <c r="AN543" i="5"/>
  <c r="AO543" i="5"/>
  <c r="AN53" i="5"/>
  <c r="AO53" i="5"/>
  <c r="AN88" i="5"/>
  <c r="AO88" i="5"/>
  <c r="AN513" i="5"/>
  <c r="AO513" i="5"/>
  <c r="AN396" i="5"/>
  <c r="AO396" i="5"/>
  <c r="AN217" i="5"/>
  <c r="AO217" i="5"/>
  <c r="AN519" i="5"/>
  <c r="AO519" i="5"/>
  <c r="AO464" i="5"/>
  <c r="AN464" i="5"/>
  <c r="AN357" i="5"/>
  <c r="AO357" i="5"/>
  <c r="AO94" i="5"/>
  <c r="AN94" i="5"/>
  <c r="AN102" i="5"/>
  <c r="AO102" i="5"/>
  <c r="AN19" i="5"/>
  <c r="AO19" i="5"/>
  <c r="AO97" i="5"/>
  <c r="AN97" i="5"/>
  <c r="AO279" i="5"/>
  <c r="AN279" i="5"/>
  <c r="AN165" i="5"/>
  <c r="AO165" i="5"/>
  <c r="AN67" i="5"/>
  <c r="AO67" i="5"/>
  <c r="AO415" i="5"/>
  <c r="AN415" i="5"/>
  <c r="AO52" i="5"/>
  <c r="AN52" i="5"/>
  <c r="AN43" i="5"/>
  <c r="AO43" i="5"/>
  <c r="AN317" i="5"/>
  <c r="AO317" i="5"/>
  <c r="AO523" i="5"/>
  <c r="AN523" i="5"/>
  <c r="AO359" i="5"/>
  <c r="AN359" i="5"/>
  <c r="AO131" i="5"/>
  <c r="AN131" i="5"/>
  <c r="AO100" i="5"/>
  <c r="AN100" i="5"/>
  <c r="AN528" i="5"/>
  <c r="AO528" i="5"/>
  <c r="AN303" i="5"/>
  <c r="AO303" i="5"/>
  <c r="AN349" i="5"/>
  <c r="AO349" i="5"/>
  <c r="AO540" i="5"/>
  <c r="AN540" i="5"/>
  <c r="AO174" i="5"/>
  <c r="AN174" i="5"/>
  <c r="AO29" i="5"/>
  <c r="AN29" i="5"/>
  <c r="AN471" i="5"/>
  <c r="AO471" i="5"/>
  <c r="AN488" i="5"/>
  <c r="AO488" i="5"/>
  <c r="AN20" i="5"/>
  <c r="AO20" i="5"/>
  <c r="AN238" i="5"/>
  <c r="AO238" i="5"/>
  <c r="AN508" i="5"/>
  <c r="AO508" i="5"/>
  <c r="AN23" i="5"/>
  <c r="AO23" i="5"/>
  <c r="AN111" i="5"/>
  <c r="AO111" i="5"/>
  <c r="AN161" i="5"/>
  <c r="AO161" i="5"/>
  <c r="AO99" i="5"/>
  <c r="AN99" i="5"/>
  <c r="AN35" i="5"/>
  <c r="AO35" i="5"/>
  <c r="AO119" i="5"/>
  <c r="AN119" i="5"/>
  <c r="AO271" i="5"/>
  <c r="AN271" i="5"/>
  <c r="AN449" i="5"/>
  <c r="AO449" i="5"/>
  <c r="AO538" i="5"/>
  <c r="AN538" i="5"/>
  <c r="AN47" i="5"/>
  <c r="AO47" i="5"/>
  <c r="AO58" i="5"/>
  <c r="AN58" i="5"/>
  <c r="AN379" i="5"/>
  <c r="AO379" i="5"/>
  <c r="AN339" i="5"/>
  <c r="AO339" i="5"/>
  <c r="AN522" i="5"/>
  <c r="AO522" i="5"/>
  <c r="AN423" i="5"/>
  <c r="AO423" i="5"/>
  <c r="AN223" i="5"/>
  <c r="AO223" i="5"/>
  <c r="AO75" i="5"/>
  <c r="AN75" i="5"/>
  <c r="AN91" i="5"/>
  <c r="AO91" i="5"/>
  <c r="AN123" i="5"/>
  <c r="AO123" i="5"/>
  <c r="AO493" i="5"/>
  <c r="AN493" i="5"/>
  <c r="AO7" i="5"/>
  <c r="AN7" i="5"/>
  <c r="AO346" i="5"/>
  <c r="AN346" i="5"/>
  <c r="AN484" i="5"/>
  <c r="AO484" i="5"/>
  <c r="AO8" i="5"/>
  <c r="AN8" i="5"/>
  <c r="AO130" i="5"/>
  <c r="AN130" i="5"/>
  <c r="AO289" i="5"/>
  <c r="AN289" i="5"/>
  <c r="AO534" i="5"/>
  <c r="AN534" i="5"/>
  <c r="AO253" i="5"/>
  <c r="AN253" i="5"/>
  <c r="AN89" i="5"/>
  <c r="AO89" i="5"/>
  <c r="AO121" i="5"/>
  <c r="AN121" i="5"/>
  <c r="AN395" i="5"/>
  <c r="AO395" i="5"/>
  <c r="AN330" i="5"/>
  <c r="AO330" i="5"/>
  <c r="AN188" i="5"/>
  <c r="AO188" i="5"/>
  <c r="AO441" i="5"/>
  <c r="AN441" i="5"/>
  <c r="AO486" i="5"/>
  <c r="AN486" i="5"/>
  <c r="AN92" i="5"/>
  <c r="AO92" i="5"/>
  <c r="AO60" i="5"/>
  <c r="AN60" i="5"/>
  <c r="AO80" i="5"/>
  <c r="AN80" i="5"/>
  <c r="AN114" i="5"/>
  <c r="AO114" i="5"/>
  <c r="AO261" i="5"/>
  <c r="AN261" i="5"/>
  <c r="AN245" i="5"/>
  <c r="AO245" i="5"/>
  <c r="AN516" i="5"/>
  <c r="AO516" i="5"/>
  <c r="AH335" i="5"/>
  <c r="AI335" i="5"/>
  <c r="AH482" i="5"/>
  <c r="AI482" i="5"/>
  <c r="AH446" i="5"/>
  <c r="AI446" i="5"/>
  <c r="AH386" i="5"/>
  <c r="AI386" i="5"/>
  <c r="AI162" i="5"/>
  <c r="AH162" i="5"/>
  <c r="AH8" i="5"/>
  <c r="AI8" i="5"/>
  <c r="AI497" i="5"/>
  <c r="AH497" i="5"/>
  <c r="AI455" i="5"/>
  <c r="AH455" i="5"/>
  <c r="AH529" i="5"/>
  <c r="AI529" i="5"/>
  <c r="AI309" i="5"/>
  <c r="AH309" i="5"/>
  <c r="AI90" i="5"/>
  <c r="AH90" i="5"/>
  <c r="AH431" i="5"/>
  <c r="AI431" i="5"/>
  <c r="AH126" i="5"/>
  <c r="AI126" i="5"/>
  <c r="AH32" i="5"/>
  <c r="AI32" i="5"/>
  <c r="AH373" i="5"/>
  <c r="AI373" i="5"/>
  <c r="AH108" i="5"/>
  <c r="AI108" i="5"/>
  <c r="AI281" i="5"/>
  <c r="AH281" i="5"/>
  <c r="AI176" i="5"/>
  <c r="AH176" i="5"/>
  <c r="AI237" i="5"/>
  <c r="AH237" i="5"/>
  <c r="AI538" i="5"/>
  <c r="AH538" i="5"/>
  <c r="AH284" i="5"/>
  <c r="AI284" i="5"/>
  <c r="AH270" i="5"/>
  <c r="AI270" i="5"/>
  <c r="AH509" i="5"/>
  <c r="AI509" i="5"/>
  <c r="AH511" i="5"/>
  <c r="AI511" i="5"/>
  <c r="AH260" i="5"/>
  <c r="AI260" i="5"/>
  <c r="AH472" i="5"/>
  <c r="AI472" i="5"/>
  <c r="AH19" i="5"/>
  <c r="AI19" i="5"/>
  <c r="AI207" i="5"/>
  <c r="AH207" i="5"/>
  <c r="AI168" i="5"/>
  <c r="AH168" i="5"/>
  <c r="AI70" i="5"/>
  <c r="AH70" i="5"/>
  <c r="AI24" i="5"/>
  <c r="AH24" i="5"/>
  <c r="AI302" i="5"/>
  <c r="AH302" i="5"/>
  <c r="AH403" i="5"/>
  <c r="AI403" i="5"/>
  <c r="AH133" i="5"/>
  <c r="AI133" i="5"/>
  <c r="AH159" i="5"/>
  <c r="AI159" i="5"/>
  <c r="AH363" i="5"/>
  <c r="AI363" i="5"/>
  <c r="AH238" i="5"/>
  <c r="AI238" i="5"/>
  <c r="AI129" i="5"/>
  <c r="AH129" i="5"/>
  <c r="AI185" i="5"/>
  <c r="AH185" i="5"/>
  <c r="AI428" i="5"/>
  <c r="AH428" i="5"/>
  <c r="AI362" i="5"/>
  <c r="AH362" i="5"/>
  <c r="AH130" i="5"/>
  <c r="AI130" i="5"/>
  <c r="AH277" i="5"/>
  <c r="AI277" i="5"/>
  <c r="AH492" i="5"/>
  <c r="AI492" i="5"/>
  <c r="AH452" i="5"/>
  <c r="AI452" i="5"/>
  <c r="AH332" i="5"/>
  <c r="AI332" i="5"/>
  <c r="AH124" i="5"/>
  <c r="AI124" i="5"/>
  <c r="AH481" i="5"/>
  <c r="AI481" i="5"/>
  <c r="AH305" i="5"/>
  <c r="AI305" i="5"/>
  <c r="AI251" i="5"/>
  <c r="AH251" i="5"/>
  <c r="AI227" i="5"/>
  <c r="AH227" i="5"/>
  <c r="AH201" i="5"/>
  <c r="AI201" i="5"/>
  <c r="AH99" i="5"/>
  <c r="AI99" i="5"/>
  <c r="AH275" i="5"/>
  <c r="AI275" i="5"/>
  <c r="AI180" i="5"/>
  <c r="AH180" i="5"/>
  <c r="AH304" i="5"/>
  <c r="AI304" i="5"/>
  <c r="AH214" i="5"/>
  <c r="AI214" i="5"/>
  <c r="AH65" i="5"/>
  <c r="AI65" i="5"/>
  <c r="AH256" i="5"/>
  <c r="AI256" i="5"/>
  <c r="AI109" i="5"/>
  <c r="AH109" i="5"/>
  <c r="AI279" i="5"/>
  <c r="AH279" i="5"/>
  <c r="AH104" i="5"/>
  <c r="AI104" i="5"/>
  <c r="AH525" i="5"/>
  <c r="AI525" i="5"/>
  <c r="AH387" i="5"/>
  <c r="AI387" i="5"/>
  <c r="AI223" i="5"/>
  <c r="AH223" i="5"/>
  <c r="AI137" i="5"/>
  <c r="AH137" i="5"/>
  <c r="AI485" i="5"/>
  <c r="AH485" i="5"/>
  <c r="AH477" i="5"/>
  <c r="AI477" i="5"/>
  <c r="AH461" i="5"/>
  <c r="AI461" i="5"/>
  <c r="AH245" i="5"/>
  <c r="AI245" i="5"/>
  <c r="AI528" i="5"/>
  <c r="AH528" i="5"/>
  <c r="AH169" i="5"/>
  <c r="AI169" i="5"/>
  <c r="AI135" i="5"/>
  <c r="AH135" i="5"/>
  <c r="AI246" i="5"/>
  <c r="AH246" i="5"/>
  <c r="AI122" i="5"/>
  <c r="AH122" i="5"/>
  <c r="AI338" i="5"/>
  <c r="AH338" i="5"/>
  <c r="AI533" i="5"/>
  <c r="AH533" i="5"/>
  <c r="AI86" i="5"/>
  <c r="AH86" i="5"/>
  <c r="AI516" i="5"/>
  <c r="AH516" i="5"/>
  <c r="AI474" i="5"/>
  <c r="AH474" i="5"/>
  <c r="AI487" i="5"/>
  <c r="AH487" i="5"/>
  <c r="AI49" i="5"/>
  <c r="AH49" i="5"/>
  <c r="AI501" i="5"/>
  <c r="AH501" i="5"/>
  <c r="AI148" i="5"/>
  <c r="AH148" i="5"/>
  <c r="AH157" i="5"/>
  <c r="AI157" i="5"/>
  <c r="AH471" i="5"/>
  <c r="AI471" i="5"/>
  <c r="AI544" i="5"/>
  <c r="AH544" i="5"/>
  <c r="AH232" i="5"/>
  <c r="AI232" i="5"/>
  <c r="AH95" i="5"/>
  <c r="AI95" i="5"/>
  <c r="AI191" i="5"/>
  <c r="AH191" i="5"/>
  <c r="AH44" i="5"/>
  <c r="AI44" i="5"/>
  <c r="AH559" i="5"/>
  <c r="AI559" i="5"/>
  <c r="AH139" i="5"/>
  <c r="AI139" i="5"/>
  <c r="AI537" i="5"/>
  <c r="AH537" i="5"/>
  <c r="AI179" i="5"/>
  <c r="AH179" i="5"/>
  <c r="AH545" i="5"/>
  <c r="AI545" i="5"/>
  <c r="AH489" i="5"/>
  <c r="AI489" i="5"/>
  <c r="AH197" i="5"/>
  <c r="AI197" i="5"/>
  <c r="AH357" i="5"/>
  <c r="AI357" i="5"/>
  <c r="AH263" i="5"/>
  <c r="AI263" i="5"/>
  <c r="AH532" i="5"/>
  <c r="AI532" i="5"/>
  <c r="AH449" i="5"/>
  <c r="AI449" i="5"/>
  <c r="AH346" i="5"/>
  <c r="AI346" i="5"/>
  <c r="AI301" i="5"/>
  <c r="AH301" i="5"/>
  <c r="AI101" i="5"/>
  <c r="AH101" i="5"/>
  <c r="AI117" i="5"/>
  <c r="AH117" i="5"/>
  <c r="AI202" i="5"/>
  <c r="AH202" i="5"/>
  <c r="AH172" i="5"/>
  <c r="AI172" i="5"/>
  <c r="AI190" i="5"/>
  <c r="AH190" i="5"/>
  <c r="AI68" i="5"/>
  <c r="AH68" i="5"/>
  <c r="AH183" i="5"/>
  <c r="AI183" i="5"/>
  <c r="AI145" i="5"/>
  <c r="AH145" i="5"/>
  <c r="AI400" i="5"/>
  <c r="AH400" i="5"/>
  <c r="AI475" i="5"/>
  <c r="AH475" i="5"/>
  <c r="AH311" i="5"/>
  <c r="AI311" i="5"/>
  <c r="AI193" i="5"/>
  <c r="AH193" i="5"/>
  <c r="AH500" i="5"/>
  <c r="AI500" i="5"/>
  <c r="AH351" i="5"/>
  <c r="AI351" i="5"/>
  <c r="AI508" i="5"/>
  <c r="AH508" i="5"/>
  <c r="AH249" i="5"/>
  <c r="AI249" i="5"/>
  <c r="AH418" i="5"/>
  <c r="AI418" i="5"/>
  <c r="AH182" i="5"/>
  <c r="AI182" i="5"/>
  <c r="AH150" i="5"/>
  <c r="AI150" i="5"/>
  <c r="AH252" i="5"/>
  <c r="AI252" i="5"/>
  <c r="AI149" i="5"/>
  <c r="AH149" i="5"/>
  <c r="AH110" i="5"/>
  <c r="AI110" i="5"/>
  <c r="AI243" i="5"/>
  <c r="AH243" i="5"/>
  <c r="AI98" i="5"/>
  <c r="AH98" i="5"/>
  <c r="AH30" i="5"/>
  <c r="AI30" i="5"/>
  <c r="AH450" i="5"/>
  <c r="AI450" i="5"/>
  <c r="AI374" i="5"/>
  <c r="AH374" i="5"/>
  <c r="AH155" i="5"/>
  <c r="AI155" i="5"/>
  <c r="AH13" i="5"/>
  <c r="AI13" i="5"/>
  <c r="AI88" i="5"/>
  <c r="AH88" i="5"/>
  <c r="AH184" i="5"/>
  <c r="AI184" i="5"/>
  <c r="AI72" i="5"/>
  <c r="AH72" i="5"/>
  <c r="AH352" i="5"/>
  <c r="AI352" i="5"/>
  <c r="AE103" i="4"/>
  <c r="AA103" i="4"/>
  <c r="Z103" i="4"/>
  <c r="AH103" i="4"/>
  <c r="AH75" i="4"/>
  <c r="AE75" i="4"/>
  <c r="AR128" i="5" l="1"/>
  <c r="BI128" i="5"/>
  <c r="BJ128" i="5" s="1"/>
  <c r="AQ31" i="5"/>
  <c r="AR31" i="5"/>
  <c r="BI343" i="5"/>
  <c r="BJ343" i="5" s="1"/>
  <c r="AR343" i="5"/>
  <c r="BI456" i="5"/>
  <c r="BK456" i="5" s="1"/>
  <c r="AR456" i="5"/>
  <c r="AR482" i="5"/>
  <c r="BI140" i="5"/>
  <c r="BJ140" i="5" s="1"/>
  <c r="AR140" i="5"/>
  <c r="AQ112" i="5"/>
  <c r="AR112" i="5"/>
  <c r="AQ482" i="5"/>
  <c r="AQ178" i="5"/>
  <c r="BI178" i="5"/>
  <c r="BJ178" i="5" s="1"/>
  <c r="BI270" i="5"/>
  <c r="BK270" i="5" s="1"/>
  <c r="BI80" i="5"/>
  <c r="BK80" i="5" s="1"/>
  <c r="AR535" i="5"/>
  <c r="BI535" i="5"/>
  <c r="BK535" i="5" s="1"/>
  <c r="AR80" i="5"/>
  <c r="AQ270" i="5"/>
  <c r="AQ338" i="5"/>
  <c r="BI338" i="5"/>
  <c r="BJ338" i="5" s="1"/>
  <c r="AR193" i="5"/>
  <c r="BI193" i="5"/>
  <c r="BJ193" i="5" s="1"/>
  <c r="AR438" i="5"/>
  <c r="AQ183" i="5"/>
  <c r="AQ418" i="5"/>
  <c r="AQ23" i="5"/>
  <c r="AQ473" i="5"/>
  <c r="AR23" i="5"/>
  <c r="AR473" i="5"/>
  <c r="BI418" i="5"/>
  <c r="BJ418" i="5" s="1"/>
  <c r="AR19" i="5"/>
  <c r="AR417" i="5"/>
  <c r="AR216" i="5"/>
  <c r="AQ216" i="5"/>
  <c r="AQ417" i="5"/>
  <c r="AR146" i="5"/>
  <c r="AQ438" i="5"/>
  <c r="AR183" i="5"/>
  <c r="AR399" i="5"/>
  <c r="BI274" i="5"/>
  <c r="BK274" i="5" s="1"/>
  <c r="AR253" i="5"/>
  <c r="AR138" i="5"/>
  <c r="AQ138" i="5"/>
  <c r="AQ117" i="5"/>
  <c r="BI397" i="5"/>
  <c r="BJ397" i="5" s="1"/>
  <c r="BI117" i="5"/>
  <c r="BJ117" i="5" s="1"/>
  <c r="AQ228" i="5"/>
  <c r="AR184" i="5"/>
  <c r="AQ184" i="5"/>
  <c r="AQ397" i="5"/>
  <c r="AR160" i="5"/>
  <c r="AR227" i="5"/>
  <c r="AQ160" i="5"/>
  <c r="BI227" i="5"/>
  <c r="BJ227" i="5" s="1"/>
  <c r="BI228" i="5"/>
  <c r="BJ228" i="5" s="1"/>
  <c r="BI250" i="5"/>
  <c r="BJ250" i="5" s="1"/>
  <c r="AQ250" i="5"/>
  <c r="AR368" i="5"/>
  <c r="AR472" i="5"/>
  <c r="AR286" i="5"/>
  <c r="AQ399" i="5"/>
  <c r="BI368" i="5"/>
  <c r="BJ368" i="5" s="1"/>
  <c r="BI243" i="5"/>
  <c r="BJ243" i="5" s="1"/>
  <c r="AR243" i="5"/>
  <c r="AQ286" i="5"/>
  <c r="AQ274" i="5"/>
  <c r="BI202" i="5"/>
  <c r="BJ202" i="5" s="1"/>
  <c r="AQ472" i="5"/>
  <c r="BI241" i="5"/>
  <c r="BJ241" i="5" s="1"/>
  <c r="AR306" i="5"/>
  <c r="AQ306" i="5"/>
  <c r="AQ275" i="5"/>
  <c r="AQ131" i="5"/>
  <c r="AQ445" i="5"/>
  <c r="AR467" i="5"/>
  <c r="AQ98" i="5"/>
  <c r="AR98" i="5"/>
  <c r="AR230" i="5"/>
  <c r="BI363" i="5"/>
  <c r="BJ363" i="5" s="1"/>
  <c r="AQ363" i="5"/>
  <c r="BI253" i="5"/>
  <c r="BJ253" i="5" s="1"/>
  <c r="BI164" i="5"/>
  <c r="BJ164" i="5" s="1"/>
  <c r="AR218" i="5"/>
  <c r="BI230" i="5"/>
  <c r="BK230" i="5" s="1"/>
  <c r="BI200" i="5"/>
  <c r="BK200" i="5" s="1"/>
  <c r="BI358" i="5"/>
  <c r="BK358" i="5" s="1"/>
  <c r="BI105" i="5"/>
  <c r="BJ105" i="5" s="1"/>
  <c r="AQ528" i="5"/>
  <c r="AR445" i="5"/>
  <c r="BI246" i="5"/>
  <c r="BK246" i="5" s="1"/>
  <c r="AQ246" i="5"/>
  <c r="BI282" i="5"/>
  <c r="BJ282" i="5" s="1"/>
  <c r="BI285" i="5"/>
  <c r="BJ285" i="5" s="1"/>
  <c r="BI560" i="5"/>
  <c r="BK560" i="5" s="1"/>
  <c r="AQ101" i="5"/>
  <c r="AR429" i="5"/>
  <c r="AR285" i="5"/>
  <c r="AR560" i="5"/>
  <c r="AQ47" i="5"/>
  <c r="AR101" i="5"/>
  <c r="AQ324" i="5"/>
  <c r="AR174" i="5"/>
  <c r="BI324" i="5"/>
  <c r="BJ324" i="5" s="1"/>
  <c r="BI528" i="5"/>
  <c r="BJ528" i="5" s="1"/>
  <c r="AR358" i="5"/>
  <c r="BI237" i="5"/>
  <c r="BK237" i="5" s="1"/>
  <c r="AR105" i="5"/>
  <c r="AR29" i="5"/>
  <c r="Z127" i="4"/>
  <c r="AK127" i="4" s="1"/>
  <c r="AL127" i="4" s="1"/>
  <c r="AR237" i="5"/>
  <c r="AR153" i="5"/>
  <c r="AR235" i="5"/>
  <c r="AQ39" i="5"/>
  <c r="AR131" i="5"/>
  <c r="AR499" i="5"/>
  <c r="BI39" i="5"/>
  <c r="BJ39" i="5" s="1"/>
  <c r="BI70" i="5"/>
  <c r="BK70" i="5" s="1"/>
  <c r="BI244" i="5"/>
  <c r="BK244" i="5" s="1"/>
  <c r="AR111" i="5"/>
  <c r="BI171" i="5"/>
  <c r="BK171" i="5" s="1"/>
  <c r="AQ135" i="5"/>
  <c r="AR261" i="5"/>
  <c r="AQ546" i="5"/>
  <c r="AQ499" i="5"/>
  <c r="BI132" i="5"/>
  <c r="BJ132" i="5" s="1"/>
  <c r="AR143" i="5"/>
  <c r="AQ132" i="5"/>
  <c r="BI143" i="5"/>
  <c r="BJ143" i="5" s="1"/>
  <c r="AR545" i="5"/>
  <c r="AR344" i="5"/>
  <c r="AR135" i="5"/>
  <c r="AQ235" i="5"/>
  <c r="AQ526" i="5"/>
  <c r="AR96" i="5"/>
  <c r="BI545" i="5"/>
  <c r="BJ545" i="5" s="1"/>
  <c r="AR217" i="5"/>
  <c r="BI281" i="5"/>
  <c r="BK281" i="5" s="1"/>
  <c r="BI526" i="5"/>
  <c r="BJ526" i="5" s="1"/>
  <c r="BI96" i="5"/>
  <c r="BJ96" i="5" s="1"/>
  <c r="AQ217" i="5"/>
  <c r="AQ281" i="5"/>
  <c r="AR305" i="5"/>
  <c r="BI340" i="5"/>
  <c r="BJ340" i="5" s="1"/>
  <c r="BI272" i="5"/>
  <c r="BK272" i="5" s="1"/>
  <c r="AR272" i="5"/>
  <c r="AQ407" i="5"/>
  <c r="AR407" i="5"/>
  <c r="AR20" i="5"/>
  <c r="AQ410" i="5"/>
  <c r="BI20" i="5"/>
  <c r="BK20" i="5" s="1"/>
  <c r="Z130" i="4"/>
  <c r="AF130" i="4" s="1"/>
  <c r="AG130" i="4" s="1"/>
  <c r="AI130" i="4" s="1"/>
  <c r="BI410" i="5"/>
  <c r="BJ410" i="5" s="1"/>
  <c r="AQ29" i="5"/>
  <c r="AQ174" i="5"/>
  <c r="AQ70" i="5"/>
  <c r="AR149" i="5"/>
  <c r="BI344" i="5"/>
  <c r="BJ344" i="5" s="1"/>
  <c r="AR171" i="5"/>
  <c r="AQ305" i="5"/>
  <c r="AQ149" i="5"/>
  <c r="AQ483" i="5"/>
  <c r="AQ111" i="5"/>
  <c r="AQ395" i="5"/>
  <c r="AQ257" i="5"/>
  <c r="AQ161" i="5"/>
  <c r="BI192" i="5"/>
  <c r="BJ192" i="5" s="1"/>
  <c r="AR409" i="5"/>
  <c r="AR192" i="5"/>
  <c r="AR257" i="5"/>
  <c r="AQ220" i="5"/>
  <c r="BI516" i="5"/>
  <c r="BK516" i="5" s="1"/>
  <c r="AQ172" i="5"/>
  <c r="AR483" i="5"/>
  <c r="AR172" i="5"/>
  <c r="AQ223" i="5"/>
  <c r="AR32" i="5"/>
  <c r="AR277" i="5"/>
  <c r="BI32" i="5"/>
  <c r="BJ32" i="5" s="1"/>
  <c r="AR222" i="5"/>
  <c r="AR355" i="5"/>
  <c r="BI277" i="5"/>
  <c r="BJ277" i="5" s="1"/>
  <c r="AQ222" i="5"/>
  <c r="BI355" i="5"/>
  <c r="BJ355" i="5" s="1"/>
  <c r="BI389" i="5"/>
  <c r="BJ389" i="5" s="1"/>
  <c r="AR466" i="5"/>
  <c r="AR389" i="5"/>
  <c r="BI466" i="5"/>
  <c r="BJ466" i="5" s="1"/>
  <c r="AA130" i="4"/>
  <c r="AP130" i="4" s="1"/>
  <c r="BI515" i="5"/>
  <c r="BJ515" i="5" s="1"/>
  <c r="AR515" i="5"/>
  <c r="BI501" i="5"/>
  <c r="BK501" i="5" s="1"/>
  <c r="AQ282" i="5"/>
  <c r="BI471" i="5"/>
  <c r="BK471" i="5" s="1"/>
  <c r="BI64" i="5"/>
  <c r="BJ64" i="5" s="1"/>
  <c r="AR220" i="5"/>
  <c r="AR64" i="5"/>
  <c r="BI512" i="5"/>
  <c r="BJ512" i="5" s="1"/>
  <c r="AR48" i="5"/>
  <c r="AR231" i="5"/>
  <c r="AQ493" i="5"/>
  <c r="AR373" i="5"/>
  <c r="AQ52" i="5"/>
  <c r="BI231" i="5"/>
  <c r="BK231" i="5" s="1"/>
  <c r="BI224" i="5"/>
  <c r="BJ224" i="5" s="1"/>
  <c r="BI439" i="5"/>
  <c r="BK439" i="5" s="1"/>
  <c r="AQ373" i="5"/>
  <c r="AQ224" i="5"/>
  <c r="AR375" i="5"/>
  <c r="AR321" i="5"/>
  <c r="BI375" i="5"/>
  <c r="BJ375" i="5" s="1"/>
  <c r="BI321" i="5"/>
  <c r="BK321" i="5" s="1"/>
  <c r="AR475" i="5"/>
  <c r="BI475" i="5"/>
  <c r="BK475" i="5" s="1"/>
  <c r="AQ323" i="5"/>
  <c r="AQ518" i="5"/>
  <c r="AR202" i="5"/>
  <c r="AR331" i="5"/>
  <c r="AQ468" i="5"/>
  <c r="BI468" i="5"/>
  <c r="BK468" i="5" s="1"/>
  <c r="BI173" i="5"/>
  <c r="BK173" i="5" s="1"/>
  <c r="AQ471" i="5"/>
  <c r="AR177" i="5"/>
  <c r="AQ241" i="5"/>
  <c r="AR298" i="5"/>
  <c r="BI177" i="5"/>
  <c r="BK177" i="5" s="1"/>
  <c r="BI298" i="5"/>
  <c r="BK298" i="5" s="1"/>
  <c r="AQ43" i="5"/>
  <c r="BI478" i="5"/>
  <c r="BJ478" i="5" s="1"/>
  <c r="AQ212" i="5"/>
  <c r="AR478" i="5"/>
  <c r="AR541" i="5"/>
  <c r="AQ491" i="5"/>
  <c r="AQ541" i="5"/>
  <c r="BI43" i="5"/>
  <c r="BK43" i="5" s="1"/>
  <c r="BI21" i="5"/>
  <c r="BJ21" i="5" s="1"/>
  <c r="AQ21" i="5"/>
  <c r="AR268" i="5"/>
  <c r="AQ63" i="5"/>
  <c r="AR345" i="5"/>
  <c r="Z58" i="4"/>
  <c r="X58" i="4" s="1"/>
  <c r="AJ58" i="4" s="1"/>
  <c r="AR242" i="5"/>
  <c r="AR518" i="5"/>
  <c r="AQ331" i="5"/>
  <c r="AR323" i="5"/>
  <c r="AR379" i="5"/>
  <c r="AQ453" i="5"/>
  <c r="AR170" i="5"/>
  <c r="AR453" i="5"/>
  <c r="AR82" i="5"/>
  <c r="BI82" i="5"/>
  <c r="BK82" i="5" s="1"/>
  <c r="AR428" i="5"/>
  <c r="BI544" i="5"/>
  <c r="BJ544" i="5" s="1"/>
  <c r="BI428" i="5"/>
  <c r="BK428" i="5" s="1"/>
  <c r="BI442" i="5"/>
  <c r="BJ442" i="5" s="1"/>
  <c r="AQ442" i="5"/>
  <c r="AQ544" i="5"/>
  <c r="AR434" i="5"/>
  <c r="AR40" i="5"/>
  <c r="BI434" i="5"/>
  <c r="BK434" i="5" s="1"/>
  <c r="BI40" i="5"/>
  <c r="BK40" i="5" s="1"/>
  <c r="AR480" i="5"/>
  <c r="AR406" i="5"/>
  <c r="BI480" i="5"/>
  <c r="BK480" i="5" s="1"/>
  <c r="AQ406" i="5"/>
  <c r="BI365" i="5"/>
  <c r="BJ365" i="5" s="1"/>
  <c r="AQ365" i="5"/>
  <c r="AQ201" i="5"/>
  <c r="BI463" i="5"/>
  <c r="BK463" i="5" s="1"/>
  <c r="BI361" i="5"/>
  <c r="BJ361" i="5" s="1"/>
  <c r="AR361" i="5"/>
  <c r="AR166" i="5"/>
  <c r="AQ379" i="5"/>
  <c r="AQ170" i="5"/>
  <c r="AR431" i="5"/>
  <c r="AR339" i="5"/>
  <c r="AQ431" i="5"/>
  <c r="AQ339" i="5"/>
  <c r="BI391" i="5"/>
  <c r="BK391" i="5" s="1"/>
  <c r="AQ391" i="5"/>
  <c r="AQ521" i="5"/>
  <c r="BI521" i="5"/>
  <c r="BJ521" i="5" s="1"/>
  <c r="AR167" i="5"/>
  <c r="AR78" i="5"/>
  <c r="BI167" i="5"/>
  <c r="BJ167" i="5" s="1"/>
  <c r="AR501" i="5"/>
  <c r="AQ137" i="5"/>
  <c r="BI137" i="5"/>
  <c r="BK137" i="5" s="1"/>
  <c r="AQ414" i="5"/>
  <c r="BI414" i="5"/>
  <c r="BK414" i="5" s="1"/>
  <c r="AR449" i="5"/>
  <c r="BI449" i="5"/>
  <c r="BJ449" i="5" s="1"/>
  <c r="AR356" i="5"/>
  <c r="AQ263" i="5"/>
  <c r="AR330" i="5"/>
  <c r="BI336" i="5"/>
  <c r="BJ336" i="5" s="1"/>
  <c r="AQ345" i="5"/>
  <c r="AR336" i="5"/>
  <c r="BI52" i="5"/>
  <c r="BJ52" i="5" s="1"/>
  <c r="BI146" i="5"/>
  <c r="BJ146" i="5" s="1"/>
  <c r="AQ158" i="5"/>
  <c r="AR213" i="5"/>
  <c r="AQ279" i="5"/>
  <c r="BI213" i="5"/>
  <c r="BJ213" i="5" s="1"/>
  <c r="BI141" i="5"/>
  <c r="BK141" i="5" s="1"/>
  <c r="AR287" i="5"/>
  <c r="BI330" i="5"/>
  <c r="BJ330" i="5" s="1"/>
  <c r="AQ141" i="5"/>
  <c r="AA86" i="4"/>
  <c r="AP86" i="4" s="1"/>
  <c r="AQ467" i="5"/>
  <c r="BI287" i="5"/>
  <c r="BK287" i="5" s="1"/>
  <c r="AQ356" i="5"/>
  <c r="AR92" i="5"/>
  <c r="BI92" i="5"/>
  <c r="BK92" i="5" s="1"/>
  <c r="BI85" i="5"/>
  <c r="BK85" i="5" s="1"/>
  <c r="AQ163" i="5"/>
  <c r="Z86" i="4"/>
  <c r="AN86" i="4" s="1"/>
  <c r="BI108" i="5"/>
  <c r="BJ108" i="5" s="1"/>
  <c r="AQ229" i="5"/>
  <c r="AR367" i="5"/>
  <c r="BI292" i="5"/>
  <c r="BK292" i="5" s="1"/>
  <c r="BI367" i="5"/>
  <c r="BJ367" i="5" s="1"/>
  <c r="AR108" i="5"/>
  <c r="AR181" i="5"/>
  <c r="BI229" i="5"/>
  <c r="BK229" i="5" s="1"/>
  <c r="AR292" i="5"/>
  <c r="BI432" i="5"/>
  <c r="BK432" i="5" s="1"/>
  <c r="AQ476" i="5"/>
  <c r="BI181" i="5"/>
  <c r="BK181" i="5" s="1"/>
  <c r="AQ432" i="5"/>
  <c r="BI476" i="5"/>
  <c r="BK476" i="5" s="1"/>
  <c r="AQ214" i="5"/>
  <c r="AR304" i="5"/>
  <c r="AQ304" i="5"/>
  <c r="BI106" i="5"/>
  <c r="BJ106" i="5" s="1"/>
  <c r="AR106" i="5"/>
  <c r="AQ369" i="5"/>
  <c r="BI8" i="5"/>
  <c r="BJ8" i="5" s="1"/>
  <c r="AR401" i="5"/>
  <c r="AQ401" i="5"/>
  <c r="AR47" i="5"/>
  <c r="AQ244" i="5"/>
  <c r="BI162" i="5"/>
  <c r="BK162" i="5" s="1"/>
  <c r="BI261" i="5"/>
  <c r="BK261" i="5" s="1"/>
  <c r="AR8" i="5"/>
  <c r="AQ489" i="5"/>
  <c r="AQ429" i="5"/>
  <c r="BI71" i="5"/>
  <c r="BK71" i="5" s="1"/>
  <c r="BI421" i="5"/>
  <c r="BK421" i="5" s="1"/>
  <c r="AR489" i="5"/>
  <c r="AQ71" i="5"/>
  <c r="AR421" i="5"/>
  <c r="AR546" i="5"/>
  <c r="AR289" i="5"/>
  <c r="AQ289" i="5"/>
  <c r="BI487" i="5"/>
  <c r="BK487" i="5" s="1"/>
  <c r="AQ470" i="5"/>
  <c r="AQ487" i="5"/>
  <c r="AQ164" i="5"/>
  <c r="AR275" i="5"/>
  <c r="AR161" i="5"/>
  <c r="AR259" i="5"/>
  <c r="AR516" i="5"/>
  <c r="BI259" i="5"/>
  <c r="BK259" i="5" s="1"/>
  <c r="AR223" i="5"/>
  <c r="BI486" i="5"/>
  <c r="BJ486" i="5" s="1"/>
  <c r="AR557" i="5"/>
  <c r="AR454" i="5"/>
  <c r="AQ119" i="5"/>
  <c r="AQ486" i="5"/>
  <c r="BI557" i="5"/>
  <c r="BK557" i="5" s="1"/>
  <c r="BI76" i="5"/>
  <c r="BK76" i="5" s="1"/>
  <c r="AR119" i="5"/>
  <c r="BI402" i="5"/>
  <c r="BK402" i="5" s="1"/>
  <c r="AQ76" i="5"/>
  <c r="AR118" i="5"/>
  <c r="AR85" i="5"/>
  <c r="BI158" i="5"/>
  <c r="BK158" i="5" s="1"/>
  <c r="BI279" i="5"/>
  <c r="BK279" i="5" s="1"/>
  <c r="BI346" i="5"/>
  <c r="BK346" i="5" s="1"/>
  <c r="BI133" i="5"/>
  <c r="BK133" i="5" s="1"/>
  <c r="BI74" i="5"/>
  <c r="BJ74" i="5" s="1"/>
  <c r="BI303" i="5"/>
  <c r="BJ303" i="5" s="1"/>
  <c r="AQ133" i="5"/>
  <c r="AQ242" i="5"/>
  <c r="AQ74" i="5"/>
  <c r="AR27" i="5"/>
  <c r="AR491" i="5"/>
  <c r="BI214" i="5"/>
  <c r="BK214" i="5" s="1"/>
  <c r="AQ27" i="5"/>
  <c r="BI63" i="5"/>
  <c r="BJ63" i="5" s="1"/>
  <c r="BI268" i="5"/>
  <c r="BK268" i="5" s="1"/>
  <c r="AR481" i="5"/>
  <c r="BI481" i="5"/>
  <c r="BK481" i="5" s="1"/>
  <c r="BI212" i="5"/>
  <c r="BK212" i="5" s="1"/>
  <c r="AQ150" i="5"/>
  <c r="BI150" i="5"/>
  <c r="BJ150" i="5" s="1"/>
  <c r="AQ55" i="5"/>
  <c r="BI514" i="5"/>
  <c r="BJ514" i="5" s="1"/>
  <c r="AR55" i="5"/>
  <c r="AQ514" i="5"/>
  <c r="BI532" i="5"/>
  <c r="BJ532" i="5" s="1"/>
  <c r="BI42" i="5"/>
  <c r="BK42" i="5" s="1"/>
  <c r="AR532" i="5"/>
  <c r="AQ42" i="5"/>
  <c r="AQ12" i="5"/>
  <c r="BI194" i="5"/>
  <c r="BK194" i="5" s="1"/>
  <c r="AQ194" i="5"/>
  <c r="AQ179" i="5"/>
  <c r="AQ208" i="5"/>
  <c r="AQ88" i="5"/>
  <c r="BI201" i="5"/>
  <c r="BJ201" i="5" s="1"/>
  <c r="BI78" i="5"/>
  <c r="BJ78" i="5" s="1"/>
  <c r="AR403" i="5"/>
  <c r="AQ303" i="5"/>
  <c r="AQ403" i="5"/>
  <c r="AQ182" i="5"/>
  <c r="AR182" i="5"/>
  <c r="AQ326" i="5"/>
  <c r="BI24" i="5"/>
  <c r="BK24" i="5" s="1"/>
  <c r="AQ24" i="5"/>
  <c r="AR370" i="5"/>
  <c r="BI126" i="5"/>
  <c r="BJ126" i="5" s="1"/>
  <c r="BI203" i="5"/>
  <c r="BJ203" i="5" s="1"/>
  <c r="AR424" i="5"/>
  <c r="AR126" i="5"/>
  <c r="AR346" i="5"/>
  <c r="AR203" i="5"/>
  <c r="BI12" i="5"/>
  <c r="BJ12" i="5" s="1"/>
  <c r="AR513" i="5"/>
  <c r="AQ302" i="5"/>
  <c r="BI291" i="5"/>
  <c r="BJ291" i="5" s="1"/>
  <c r="AQ173" i="5"/>
  <c r="BI88" i="5"/>
  <c r="BJ88" i="5" s="1"/>
  <c r="BI376" i="5"/>
  <c r="BK376" i="5" s="1"/>
  <c r="AR477" i="5"/>
  <c r="AR376" i="5"/>
  <c r="AR10" i="5"/>
  <c r="BI326" i="5"/>
  <c r="BJ326" i="5" s="1"/>
  <c r="AQ536" i="5"/>
  <c r="BI536" i="5"/>
  <c r="BJ536" i="5" s="1"/>
  <c r="AQ333" i="5"/>
  <c r="BI318" i="5"/>
  <c r="BK318" i="5" s="1"/>
  <c r="BI443" i="5"/>
  <c r="BJ443" i="5" s="1"/>
  <c r="AQ553" i="5"/>
  <c r="BI374" i="5"/>
  <c r="BJ374" i="5" s="1"/>
  <c r="AR208" i="5"/>
  <c r="AA145" i="4"/>
  <c r="AP145" i="4" s="1"/>
  <c r="AQ374" i="5"/>
  <c r="AQ19" i="5"/>
  <c r="BI302" i="5"/>
  <c r="BJ302" i="5" s="1"/>
  <c r="AR342" i="5"/>
  <c r="BI342" i="5"/>
  <c r="BK342" i="5" s="1"/>
  <c r="AR380" i="5"/>
  <c r="AR329" i="5"/>
  <c r="AR510" i="5"/>
  <c r="BI380" i="5"/>
  <c r="BK380" i="5" s="1"/>
  <c r="BI329" i="5"/>
  <c r="BJ329" i="5" s="1"/>
  <c r="AR496" i="5"/>
  <c r="BI510" i="5"/>
  <c r="BK510" i="5" s="1"/>
  <c r="BI496" i="5"/>
  <c r="BK496" i="5" s="1"/>
  <c r="AQ205" i="5"/>
  <c r="BI205" i="5"/>
  <c r="BJ205" i="5" s="1"/>
  <c r="AQ511" i="5"/>
  <c r="BI136" i="5"/>
  <c r="BJ136" i="5" s="1"/>
  <c r="AR366" i="5"/>
  <c r="BI511" i="5"/>
  <c r="BJ511" i="5" s="1"/>
  <c r="AQ136" i="5"/>
  <c r="BI366" i="5"/>
  <c r="BJ366" i="5" s="1"/>
  <c r="AR436" i="5"/>
  <c r="AQ26" i="5"/>
  <c r="AR256" i="5"/>
  <c r="BI256" i="5"/>
  <c r="BK256" i="5" s="1"/>
  <c r="AA131" i="4"/>
  <c r="AP131" i="4" s="1"/>
  <c r="AQ436" i="5"/>
  <c r="AR490" i="5"/>
  <c r="AR26" i="5"/>
  <c r="AQ533" i="5"/>
  <c r="Z131" i="4"/>
  <c r="AK131" i="4" s="1"/>
  <c r="AL131" i="4" s="1"/>
  <c r="AR509" i="5"/>
  <c r="AR382" i="5"/>
  <c r="AQ490" i="5"/>
  <c r="BI533" i="5"/>
  <c r="BK533" i="5" s="1"/>
  <c r="BI28" i="5"/>
  <c r="BJ28" i="5" s="1"/>
  <c r="AQ509" i="5"/>
  <c r="BI382" i="5"/>
  <c r="BK382" i="5" s="1"/>
  <c r="AR168" i="5"/>
  <c r="AA123" i="4"/>
  <c r="AP123" i="4" s="1"/>
  <c r="AR122" i="5"/>
  <c r="AR28" i="5"/>
  <c r="AR412" i="5"/>
  <c r="BI525" i="5"/>
  <c r="BJ525" i="5" s="1"/>
  <c r="AQ122" i="5"/>
  <c r="AR553" i="5"/>
  <c r="AQ412" i="5"/>
  <c r="BI290" i="5"/>
  <c r="BK290" i="5" s="1"/>
  <c r="AR525" i="5"/>
  <c r="Z145" i="4"/>
  <c r="AF145" i="4" s="1"/>
  <c r="AG145" i="4" s="1"/>
  <c r="AI145" i="4" s="1"/>
  <c r="Z123" i="4"/>
  <c r="AK123" i="4" s="1"/>
  <c r="AL123" i="4" s="1"/>
  <c r="BI190" i="5"/>
  <c r="BK190" i="5" s="1"/>
  <c r="AQ190" i="5"/>
  <c r="BI276" i="5"/>
  <c r="BJ276" i="5" s="1"/>
  <c r="AR392" i="5"/>
  <c r="AR276" i="5"/>
  <c r="AR139" i="5"/>
  <c r="AQ139" i="5"/>
  <c r="BI441" i="5"/>
  <c r="BJ441" i="5" s="1"/>
  <c r="AR156" i="5"/>
  <c r="BI477" i="5"/>
  <c r="BK477" i="5" s="1"/>
  <c r="AQ318" i="5"/>
  <c r="AR296" i="5"/>
  <c r="AR517" i="5"/>
  <c r="BI400" i="5"/>
  <c r="BJ400" i="5" s="1"/>
  <c r="AR519" i="5"/>
  <c r="AR254" i="5"/>
  <c r="AQ390" i="5"/>
  <c r="AQ517" i="5"/>
  <c r="AQ319" i="5"/>
  <c r="AQ48" i="5"/>
  <c r="AQ60" i="5"/>
  <c r="BI493" i="5"/>
  <c r="BJ493" i="5" s="1"/>
  <c r="AQ400" i="5"/>
  <c r="AR512" i="5"/>
  <c r="AQ254" i="5"/>
  <c r="AR319" i="5"/>
  <c r="BI424" i="5"/>
  <c r="BJ424" i="5" s="1"/>
  <c r="BI60" i="5"/>
  <c r="BK60" i="5" s="1"/>
  <c r="AQ513" i="5"/>
  <c r="AR110" i="5"/>
  <c r="AQ348" i="5"/>
  <c r="AQ278" i="5"/>
  <c r="BI317" i="5"/>
  <c r="BK317" i="5" s="1"/>
  <c r="BI295" i="5"/>
  <c r="BK295" i="5" s="1"/>
  <c r="BI110" i="5"/>
  <c r="BJ110" i="5" s="1"/>
  <c r="BI348" i="5"/>
  <c r="BJ348" i="5" s="1"/>
  <c r="AQ322" i="5"/>
  <c r="AR317" i="5"/>
  <c r="AR460" i="5"/>
  <c r="AR295" i="5"/>
  <c r="AR207" i="5"/>
  <c r="AR191" i="5"/>
  <c r="AQ530" i="5"/>
  <c r="AA125" i="4"/>
  <c r="AC125" i="4" s="1"/>
  <c r="AD125" i="4" s="1"/>
  <c r="AQ207" i="5"/>
  <c r="BI191" i="5"/>
  <c r="BJ191" i="5" s="1"/>
  <c r="AR530" i="5"/>
  <c r="AQ301" i="5"/>
  <c r="BI537" i="5"/>
  <c r="BK537" i="5" s="1"/>
  <c r="AR441" i="5"/>
  <c r="BI83" i="5"/>
  <c r="BK83" i="5" s="1"/>
  <c r="BI301" i="5"/>
  <c r="BK301" i="5" s="1"/>
  <c r="AQ264" i="5"/>
  <c r="AQ537" i="5"/>
  <c r="AQ83" i="5"/>
  <c r="AQ234" i="5"/>
  <c r="BI405" i="5"/>
  <c r="BJ405" i="5" s="1"/>
  <c r="BI264" i="5"/>
  <c r="BK264" i="5" s="1"/>
  <c r="AQ233" i="5"/>
  <c r="AR234" i="5"/>
  <c r="AR364" i="5"/>
  <c r="AR435" i="5"/>
  <c r="AR420" i="5"/>
  <c r="AR309" i="5"/>
  <c r="AR405" i="5"/>
  <c r="BI233" i="5"/>
  <c r="BK233" i="5" s="1"/>
  <c r="BI495" i="5"/>
  <c r="BK495" i="5" s="1"/>
  <c r="AQ435" i="5"/>
  <c r="AQ420" i="5"/>
  <c r="Z109" i="4"/>
  <c r="AK109" i="4" s="1"/>
  <c r="AL109" i="4" s="1"/>
  <c r="AQ309" i="5"/>
  <c r="BI447" i="5"/>
  <c r="BK447" i="5" s="1"/>
  <c r="AR114" i="5"/>
  <c r="AR25" i="5"/>
  <c r="AQ495" i="5"/>
  <c r="AR447" i="5"/>
  <c r="AQ114" i="5"/>
  <c r="AR87" i="5"/>
  <c r="AR278" i="5"/>
  <c r="AQ430" i="5"/>
  <c r="BI542" i="5"/>
  <c r="BJ542" i="5" s="1"/>
  <c r="AQ271" i="5"/>
  <c r="BI25" i="5"/>
  <c r="BJ25" i="5" s="1"/>
  <c r="AR465" i="5"/>
  <c r="AR430" i="5"/>
  <c r="AQ542" i="5"/>
  <c r="AR271" i="5"/>
  <c r="BI238" i="5"/>
  <c r="BJ238" i="5" s="1"/>
  <c r="AQ87" i="5"/>
  <c r="BI460" i="5"/>
  <c r="BJ460" i="5" s="1"/>
  <c r="AQ465" i="5"/>
  <c r="AQ238" i="5"/>
  <c r="AQ283" i="5"/>
  <c r="AQ79" i="5"/>
  <c r="AQ370" i="5"/>
  <c r="BI390" i="5"/>
  <c r="BJ390" i="5" s="1"/>
  <c r="AR283" i="5"/>
  <c r="AR439" i="5"/>
  <c r="AR37" i="5"/>
  <c r="AQ519" i="5"/>
  <c r="BI163" i="5"/>
  <c r="BK163" i="5" s="1"/>
  <c r="AR147" i="5"/>
  <c r="BI37" i="5"/>
  <c r="BJ37" i="5" s="1"/>
  <c r="AR185" i="5"/>
  <c r="AQ503" i="5"/>
  <c r="AR36" i="5"/>
  <c r="AQ185" i="5"/>
  <c r="AR393" i="5"/>
  <c r="AR448" i="5"/>
  <c r="AQ145" i="5"/>
  <c r="BI322" i="5"/>
  <c r="BJ322" i="5" s="1"/>
  <c r="BI58" i="5"/>
  <c r="BK58" i="5" s="1"/>
  <c r="AR145" i="5"/>
  <c r="AR210" i="5"/>
  <c r="BI153" i="5"/>
  <c r="BK153" i="5" s="1"/>
  <c r="BI269" i="5"/>
  <c r="BJ269" i="5" s="1"/>
  <c r="BI492" i="5"/>
  <c r="BJ492" i="5" s="1"/>
  <c r="BI59" i="5"/>
  <c r="BJ59" i="5" s="1"/>
  <c r="BI349" i="5"/>
  <c r="BJ349" i="5" s="1"/>
  <c r="BI508" i="5"/>
  <c r="BJ508" i="5" s="1"/>
  <c r="AQ349" i="5"/>
  <c r="AR520" i="5"/>
  <c r="AR508" i="5"/>
  <c r="AQ273" i="5"/>
  <c r="BI498" i="5"/>
  <c r="BJ498" i="5" s="1"/>
  <c r="AR273" i="5"/>
  <c r="BI458" i="5"/>
  <c r="BK458" i="5" s="1"/>
  <c r="AA126" i="4"/>
  <c r="AP126" i="4" s="1"/>
  <c r="AR458" i="5"/>
  <c r="BI294" i="5"/>
  <c r="BJ294" i="5" s="1"/>
  <c r="AR469" i="5"/>
  <c r="AR129" i="5"/>
  <c r="AR294" i="5"/>
  <c r="AQ469" i="5"/>
  <c r="BI129" i="5"/>
  <c r="BK129" i="5" s="1"/>
  <c r="AR369" i="5"/>
  <c r="AR335" i="5"/>
  <c r="BI335" i="5"/>
  <c r="BJ335" i="5" s="1"/>
  <c r="AR507" i="5"/>
  <c r="AQ402" i="5"/>
  <c r="BI484" i="5"/>
  <c r="BK484" i="5" s="1"/>
  <c r="AQ65" i="5"/>
  <c r="AR484" i="5"/>
  <c r="BI65" i="5"/>
  <c r="BK65" i="5" s="1"/>
  <c r="AQ360" i="5"/>
  <c r="BI35" i="5"/>
  <c r="BJ35" i="5" s="1"/>
  <c r="Z148" i="4"/>
  <c r="AN148" i="4" s="1"/>
  <c r="BI300" i="5"/>
  <c r="BK300" i="5" s="1"/>
  <c r="AR196" i="5"/>
  <c r="Z126" i="4"/>
  <c r="AK126" i="4" s="1"/>
  <c r="AL126" i="4" s="1"/>
  <c r="BI360" i="5"/>
  <c r="BK360" i="5" s="1"/>
  <c r="BI393" i="5"/>
  <c r="BJ393" i="5" s="1"/>
  <c r="AQ35" i="5"/>
  <c r="AR204" i="5"/>
  <c r="AR300" i="5"/>
  <c r="AQ196" i="5"/>
  <c r="AQ66" i="5"/>
  <c r="BI459" i="5"/>
  <c r="BJ459" i="5" s="1"/>
  <c r="AR395" i="5"/>
  <c r="BI503" i="5"/>
  <c r="BJ503" i="5" s="1"/>
  <c r="AR450" i="5"/>
  <c r="AR459" i="5"/>
  <c r="AQ56" i="5"/>
  <c r="AQ364" i="5"/>
  <c r="AR506" i="5"/>
  <c r="BI555" i="5"/>
  <c r="BK555" i="5" s="1"/>
  <c r="AQ123" i="5"/>
  <c r="AQ320" i="5"/>
  <c r="BI180" i="5"/>
  <c r="BJ180" i="5" s="1"/>
  <c r="AQ147" i="5"/>
  <c r="AR498" i="5"/>
  <c r="AR123" i="5"/>
  <c r="AR320" i="5"/>
  <c r="AQ245" i="5"/>
  <c r="AQ45" i="5"/>
  <c r="AQ538" i="5"/>
  <c r="AQ180" i="5"/>
  <c r="AR245" i="5"/>
  <c r="AR134" i="5"/>
  <c r="AR538" i="5"/>
  <c r="BI56" i="5"/>
  <c r="BK56" i="5" s="1"/>
  <c r="AR451" i="5"/>
  <c r="BI310" i="5"/>
  <c r="BK310" i="5" s="1"/>
  <c r="BI506" i="5"/>
  <c r="BJ506" i="5" s="1"/>
  <c r="AQ69" i="5"/>
  <c r="BI427" i="5"/>
  <c r="BJ427" i="5" s="1"/>
  <c r="BI488" i="5"/>
  <c r="BJ488" i="5" s="1"/>
  <c r="AQ451" i="5"/>
  <c r="AR310" i="5"/>
  <c r="BI69" i="5"/>
  <c r="BJ69" i="5" s="1"/>
  <c r="AR67" i="5"/>
  <c r="AQ134" i="5"/>
  <c r="AQ86" i="5"/>
  <c r="AQ422" i="5"/>
  <c r="BI34" i="5"/>
  <c r="BK34" i="5" s="1"/>
  <c r="AQ488" i="5"/>
  <c r="AR427" i="5"/>
  <c r="AA154" i="4"/>
  <c r="AC154" i="4" s="1"/>
  <c r="AD154" i="4" s="1"/>
  <c r="AQ354" i="5"/>
  <c r="BI67" i="5"/>
  <c r="BK67" i="5" s="1"/>
  <c r="AR383" i="5"/>
  <c r="AQ81" i="5"/>
  <c r="BI378" i="5"/>
  <c r="BK378" i="5" s="1"/>
  <c r="AQ41" i="5"/>
  <c r="AR422" i="5"/>
  <c r="BI296" i="5"/>
  <c r="BJ296" i="5" s="1"/>
  <c r="AR34" i="5"/>
  <c r="AQ550" i="5"/>
  <c r="BI62" i="5"/>
  <c r="BJ62" i="5" s="1"/>
  <c r="Z154" i="4"/>
  <c r="AK154" i="4" s="1"/>
  <c r="AL154" i="4" s="1"/>
  <c r="BI354" i="5"/>
  <c r="BK354" i="5" s="1"/>
  <c r="BI413" i="5"/>
  <c r="BK413" i="5" s="1"/>
  <c r="AQ384" i="5"/>
  <c r="AQ383" i="5"/>
  <c r="AQ44" i="5"/>
  <c r="AR81" i="5"/>
  <c r="AR107" i="5"/>
  <c r="BI251" i="5"/>
  <c r="BK251" i="5" s="1"/>
  <c r="AQ332" i="5"/>
  <c r="AQ555" i="5"/>
  <c r="AR550" i="5"/>
  <c r="AQ62" i="5"/>
  <c r="AQ413" i="5"/>
  <c r="AR384" i="5"/>
  <c r="BI455" i="5"/>
  <c r="BJ455" i="5" s="1"/>
  <c r="AQ251" i="5"/>
  <c r="AQ534" i="5"/>
  <c r="AQ99" i="5"/>
  <c r="AR387" i="5"/>
  <c r="AQ221" i="5"/>
  <c r="BI357" i="5"/>
  <c r="BJ357" i="5" s="1"/>
  <c r="AQ357" i="5"/>
  <c r="AQ520" i="5"/>
  <c r="AQ269" i="5"/>
  <c r="AQ200" i="5"/>
  <c r="BI155" i="5"/>
  <c r="BK155" i="5" s="1"/>
  <c r="AQ36" i="5"/>
  <c r="BI157" i="5"/>
  <c r="BK157" i="5" s="1"/>
  <c r="BI232" i="5"/>
  <c r="BJ232" i="5" s="1"/>
  <c r="AR455" i="5"/>
  <c r="AR534" i="5"/>
  <c r="BI99" i="5"/>
  <c r="BK99" i="5" s="1"/>
  <c r="BI387" i="5"/>
  <c r="BJ387" i="5" s="1"/>
  <c r="AR155" i="5"/>
  <c r="AQ157" i="5"/>
  <c r="AR232" i="5"/>
  <c r="BI507" i="5"/>
  <c r="BK507" i="5" s="1"/>
  <c r="BI450" i="5"/>
  <c r="BK450" i="5" s="1"/>
  <c r="BI44" i="5"/>
  <c r="BK44" i="5" s="1"/>
  <c r="BI332" i="5"/>
  <c r="BK332" i="5" s="1"/>
  <c r="AQ492" i="5"/>
  <c r="AQ162" i="5"/>
  <c r="AR41" i="5"/>
  <c r="AQ552" i="5"/>
  <c r="BI263" i="5"/>
  <c r="BJ263" i="5" s="1"/>
  <c r="AQ204" i="5"/>
  <c r="AQ378" i="5"/>
  <c r="AQ113" i="5"/>
  <c r="BI266" i="5"/>
  <c r="BK266" i="5" s="1"/>
  <c r="AR291" i="5"/>
  <c r="BI86" i="5"/>
  <c r="BJ86" i="5" s="1"/>
  <c r="AQ315" i="5"/>
  <c r="AQ95" i="5"/>
  <c r="AQ118" i="5"/>
  <c r="BI325" i="5"/>
  <c r="BK325" i="5" s="1"/>
  <c r="BI75" i="5"/>
  <c r="BK75" i="5" s="1"/>
  <c r="BI552" i="5"/>
  <c r="BJ552" i="5" s="1"/>
  <c r="AR211" i="5"/>
  <c r="AR113" i="5"/>
  <c r="AQ266" i="5"/>
  <c r="AQ199" i="5"/>
  <c r="AQ120" i="5"/>
  <c r="BI95" i="5"/>
  <c r="BJ95" i="5" s="1"/>
  <c r="AR325" i="5"/>
  <c r="AR426" i="5"/>
  <c r="AR75" i="5"/>
  <c r="AQ211" i="5"/>
  <c r="BI426" i="5"/>
  <c r="BK426" i="5" s="1"/>
  <c r="AQ404" i="5"/>
  <c r="AQ258" i="5"/>
  <c r="AR22" i="5"/>
  <c r="BI100" i="5"/>
  <c r="BK100" i="5" s="1"/>
  <c r="BI540" i="5"/>
  <c r="BK540" i="5" s="1"/>
  <c r="BI50" i="5"/>
  <c r="BK50" i="5" s="1"/>
  <c r="BI144" i="5"/>
  <c r="BJ144" i="5" s="1"/>
  <c r="BI404" i="5"/>
  <c r="BK404" i="5" s="1"/>
  <c r="BI258" i="5"/>
  <c r="BK258" i="5" s="1"/>
  <c r="AQ22" i="5"/>
  <c r="AQ100" i="5"/>
  <c r="AQ540" i="5"/>
  <c r="AR50" i="5"/>
  <c r="AQ215" i="5"/>
  <c r="AQ144" i="5"/>
  <c r="AQ293" i="5"/>
  <c r="AR226" i="5"/>
  <c r="AR215" i="5"/>
  <c r="AQ175" i="5"/>
  <c r="BI293" i="5"/>
  <c r="BK293" i="5" s="1"/>
  <c r="AQ297" i="5"/>
  <c r="AR175" i="5"/>
  <c r="AQ527" i="5"/>
  <c r="AQ93" i="5"/>
  <c r="AR388" i="5"/>
  <c r="BI51" i="5"/>
  <c r="BJ51" i="5" s="1"/>
  <c r="BI297" i="5"/>
  <c r="BK297" i="5" s="1"/>
  <c r="BI197" i="5"/>
  <c r="BK197" i="5" s="1"/>
  <c r="AR130" i="5"/>
  <c r="BI115" i="5"/>
  <c r="BK115" i="5" s="1"/>
  <c r="BI527" i="5"/>
  <c r="BJ527" i="5" s="1"/>
  <c r="BI93" i="5"/>
  <c r="BK93" i="5" s="1"/>
  <c r="AR51" i="5"/>
  <c r="AR197" i="5"/>
  <c r="AQ91" i="5"/>
  <c r="AQ115" i="5"/>
  <c r="AR189" i="5"/>
  <c r="BI388" i="5"/>
  <c r="BJ388" i="5" s="1"/>
  <c r="AQ152" i="5"/>
  <c r="BI265" i="5"/>
  <c r="BJ265" i="5" s="1"/>
  <c r="AR548" i="5"/>
  <c r="AR334" i="5"/>
  <c r="BI152" i="5"/>
  <c r="BJ152" i="5" s="1"/>
  <c r="AQ165" i="5"/>
  <c r="AR206" i="5"/>
  <c r="BI91" i="5"/>
  <c r="BJ91" i="5" s="1"/>
  <c r="AR396" i="5"/>
  <c r="BI168" i="5"/>
  <c r="BK168" i="5" s="1"/>
  <c r="AQ334" i="5"/>
  <c r="AQ206" i="5"/>
  <c r="AR470" i="5"/>
  <c r="AR59" i="5"/>
  <c r="AR265" i="5"/>
  <c r="BI548" i="5"/>
  <c r="BJ548" i="5" s="1"/>
  <c r="AR165" i="5"/>
  <c r="AR45" i="5"/>
  <c r="AR58" i="5"/>
  <c r="BI218" i="5"/>
  <c r="BK218" i="5" s="1"/>
  <c r="Z73" i="4"/>
  <c r="AK73" i="4" s="1"/>
  <c r="AL73" i="4" s="1"/>
  <c r="AA73" i="4"/>
  <c r="AQ73" i="4" s="1"/>
  <c r="Z92" i="4"/>
  <c r="AK92" i="4" s="1"/>
  <c r="AL92" i="4" s="1"/>
  <c r="Z56" i="4"/>
  <c r="X56" i="4" s="1"/>
  <c r="AK56" i="4" s="1"/>
  <c r="AL56" i="4" s="1"/>
  <c r="AA127" i="4"/>
  <c r="AC127" i="4" s="1"/>
  <c r="AD127" i="4" s="1"/>
  <c r="Z151" i="4"/>
  <c r="AN151" i="4" s="1"/>
  <c r="AR94" i="5"/>
  <c r="AQ94" i="5"/>
  <c r="BI523" i="5"/>
  <c r="BJ523" i="5" s="1"/>
  <c r="AR437" i="5"/>
  <c r="AQ523" i="5"/>
  <c r="AR307" i="5"/>
  <c r="BI437" i="5"/>
  <c r="BJ437" i="5" s="1"/>
  <c r="AQ307" i="5"/>
  <c r="AQ505" i="5"/>
  <c r="BI505" i="5"/>
  <c r="BJ505" i="5" s="1"/>
  <c r="AQ290" i="5"/>
  <c r="AR199" i="5"/>
  <c r="AR247" i="5"/>
  <c r="AJ43" i="4"/>
  <c r="AA43" i="4"/>
  <c r="AP43" i="4" s="1"/>
  <c r="AA58" i="4"/>
  <c r="AQ58" i="4" s="1"/>
  <c r="AA46" i="4"/>
  <c r="AQ46" i="4" s="1"/>
  <c r="AJ46" i="4"/>
  <c r="AA49" i="4"/>
  <c r="AP49" i="4" s="1"/>
  <c r="AA56" i="4"/>
  <c r="AQ56" i="4" s="1"/>
  <c r="AJ51" i="4"/>
  <c r="AA51" i="4"/>
  <c r="AQ51" i="4" s="1"/>
  <c r="AJ48" i="4"/>
  <c r="AA48" i="4"/>
  <c r="AP48" i="4" s="1"/>
  <c r="AA39" i="4"/>
  <c r="AQ39" i="4" s="1"/>
  <c r="AJ39" i="4"/>
  <c r="AA52" i="4"/>
  <c r="AP52" i="4" s="1"/>
  <c r="AJ52" i="4"/>
  <c r="AR221" i="5"/>
  <c r="AR121" i="5"/>
  <c r="AQ340" i="5"/>
  <c r="AQ313" i="5"/>
  <c r="X64" i="4"/>
  <c r="AJ64" i="4" s="1"/>
  <c r="AQ443" i="5"/>
  <c r="AQ53" i="5"/>
  <c r="BI130" i="5"/>
  <c r="BK130" i="5" s="1"/>
  <c r="AR347" i="5"/>
  <c r="AR313" i="5"/>
  <c r="BI53" i="5"/>
  <c r="BK53" i="5" s="1"/>
  <c r="BI347" i="5"/>
  <c r="BJ347" i="5" s="1"/>
  <c r="AQ189" i="5"/>
  <c r="BI109" i="5"/>
  <c r="BJ109" i="5" s="1"/>
  <c r="AQ554" i="5"/>
  <c r="X42" i="4"/>
  <c r="AJ42" i="4" s="1"/>
  <c r="AA53" i="4"/>
  <c r="AP53" i="4" s="1"/>
  <c r="AQ109" i="5"/>
  <c r="BI554" i="5"/>
  <c r="BJ554" i="5" s="1"/>
  <c r="X45" i="4"/>
  <c r="AJ45" i="4" s="1"/>
  <c r="X49" i="4"/>
  <c r="AJ49" i="4" s="1"/>
  <c r="AQ522" i="5"/>
  <c r="AR522" i="5"/>
  <c r="AR240" i="5"/>
  <c r="AR314" i="5"/>
  <c r="AQ337" i="5"/>
  <c r="AQ240" i="5"/>
  <c r="AA44" i="4"/>
  <c r="AQ44" i="4" s="1"/>
  <c r="BI314" i="5"/>
  <c r="BJ314" i="5" s="1"/>
  <c r="AR350" i="5"/>
  <c r="AQ102" i="5"/>
  <c r="AR440" i="5"/>
  <c r="AQ381" i="5"/>
  <c r="AQ142" i="5"/>
  <c r="BI350" i="5"/>
  <c r="BJ350" i="5" s="1"/>
  <c r="AR102" i="5"/>
  <c r="X40" i="4"/>
  <c r="AJ40" i="4" s="1"/>
  <c r="AR371" i="5"/>
  <c r="AR381" i="5"/>
  <c r="BI464" i="5"/>
  <c r="BJ464" i="5" s="1"/>
  <c r="BI142" i="5"/>
  <c r="BK142" i="5" s="1"/>
  <c r="BI371" i="5"/>
  <c r="BJ371" i="5" s="1"/>
  <c r="AA41" i="4"/>
  <c r="AQ41" i="4" s="1"/>
  <c r="AQ464" i="5"/>
  <c r="BI454" i="5"/>
  <c r="BJ454" i="5" s="1"/>
  <c r="AQ97" i="5"/>
  <c r="AR169" i="5"/>
  <c r="AQ457" i="5"/>
  <c r="BI97" i="5"/>
  <c r="BK97" i="5" s="1"/>
  <c r="X50" i="4"/>
  <c r="AJ50" i="4" s="1"/>
  <c r="AQ558" i="5"/>
  <c r="BI248" i="5"/>
  <c r="BJ248" i="5" s="1"/>
  <c r="AQ169" i="5"/>
  <c r="BI457" i="5"/>
  <c r="BJ457" i="5" s="1"/>
  <c r="AR312" i="5"/>
  <c r="AR57" i="5"/>
  <c r="AR104" i="5"/>
  <c r="AR558" i="5"/>
  <c r="BI398" i="5"/>
  <c r="BJ398" i="5" s="1"/>
  <c r="AQ248" i="5"/>
  <c r="BI308" i="5"/>
  <c r="BK308" i="5" s="1"/>
  <c r="BI312" i="5"/>
  <c r="BJ312" i="5" s="1"/>
  <c r="BI198" i="5"/>
  <c r="BJ198" i="5" s="1"/>
  <c r="BI104" i="5"/>
  <c r="BJ104" i="5" s="1"/>
  <c r="AR398" i="5"/>
  <c r="AQ409" i="5"/>
  <c r="BI210" i="5"/>
  <c r="BK210" i="5" s="1"/>
  <c r="AQ308" i="5"/>
  <c r="AR351" i="5"/>
  <c r="BI120" i="5"/>
  <c r="BJ120" i="5" s="1"/>
  <c r="AR198" i="5"/>
  <c r="AR66" i="5"/>
  <c r="BI351" i="5"/>
  <c r="BJ351" i="5" s="1"/>
  <c r="AJ37" i="4"/>
  <c r="AA37" i="4"/>
  <c r="AC37" i="4" s="1"/>
  <c r="AD37" i="4" s="1"/>
  <c r="AJ31" i="4"/>
  <c r="AA31" i="4"/>
  <c r="AQ31" i="4" s="1"/>
  <c r="AA36" i="4"/>
  <c r="AQ36" i="4" s="1"/>
  <c r="AJ27" i="4"/>
  <c r="AA27" i="4"/>
  <c r="AP27" i="4" s="1"/>
  <c r="AJ28" i="4"/>
  <c r="AA28" i="4"/>
  <c r="AQ28" i="4" s="1"/>
  <c r="AA33" i="4"/>
  <c r="AP33" i="4" s="1"/>
  <c r="AJ33" i="4"/>
  <c r="AJ35" i="4"/>
  <c r="AA35" i="4"/>
  <c r="AP35" i="4" s="1"/>
  <c r="AJ34" i="4"/>
  <c r="AA34" i="4"/>
  <c r="AQ34" i="4" s="1"/>
  <c r="AJ29" i="4"/>
  <c r="AA29" i="4"/>
  <c r="AC29" i="4" s="1"/>
  <c r="AD29" i="4" s="1"/>
  <c r="AJ30" i="4"/>
  <c r="AA30" i="4"/>
  <c r="AP30" i="4" s="1"/>
  <c r="X36" i="4"/>
  <c r="AJ36" i="4" s="1"/>
  <c r="AQ107" i="5"/>
  <c r="BI448" i="5"/>
  <c r="BK448" i="5" s="1"/>
  <c r="AQ408" i="5"/>
  <c r="BI125" i="5"/>
  <c r="BK125" i="5" s="1"/>
  <c r="AR408" i="5"/>
  <c r="AR125" i="5"/>
  <c r="BI327" i="5"/>
  <c r="BK327" i="5" s="1"/>
  <c r="AR327" i="5"/>
  <c r="BI362" i="5"/>
  <c r="BK362" i="5" s="1"/>
  <c r="AR362" i="5"/>
  <c r="X26" i="4"/>
  <c r="AJ26" i="4" s="1"/>
  <c r="BI188" i="5"/>
  <c r="BJ188" i="5" s="1"/>
  <c r="X32" i="4"/>
  <c r="AJ32" i="4" s="1"/>
  <c r="BI116" i="5"/>
  <c r="BJ116" i="5" s="1"/>
  <c r="AQ188" i="5"/>
  <c r="BI179" i="5"/>
  <c r="BJ179" i="5" s="1"/>
  <c r="AR543" i="5"/>
  <c r="AR328" i="5"/>
  <c r="BI543" i="5"/>
  <c r="BJ543" i="5" s="1"/>
  <c r="BI328" i="5"/>
  <c r="BJ328" i="5" s="1"/>
  <c r="AR249" i="5"/>
  <c r="BI226" i="5"/>
  <c r="BJ226" i="5" s="1"/>
  <c r="AQ463" i="5"/>
  <c r="AQ392" i="5"/>
  <c r="BI249" i="5"/>
  <c r="BK249" i="5" s="1"/>
  <c r="AQ316" i="5"/>
  <c r="BI79" i="5"/>
  <c r="BK79" i="5" s="1"/>
  <c r="AR333" i="5"/>
  <c r="BI7" i="5"/>
  <c r="BJ7" i="5" s="1"/>
  <c r="AQ425" i="5"/>
  <c r="AR385" i="5"/>
  <c r="AQ479" i="5"/>
  <c r="AR236" i="5"/>
  <c r="BI423" i="5"/>
  <c r="BK423" i="5" s="1"/>
  <c r="BI551" i="5"/>
  <c r="BJ551" i="5" s="1"/>
  <c r="AQ61" i="5"/>
  <c r="BI280" i="5"/>
  <c r="BK280" i="5" s="1"/>
  <c r="AA76" i="4"/>
  <c r="AQ76" i="4" s="1"/>
  <c r="AR30" i="5"/>
  <c r="AR479" i="5"/>
  <c r="BI166" i="5"/>
  <c r="BK166" i="5" s="1"/>
  <c r="AQ236" i="5"/>
  <c r="AQ551" i="5"/>
  <c r="AR280" i="5"/>
  <c r="BI315" i="5"/>
  <c r="BJ315" i="5" s="1"/>
  <c r="AQ121" i="5"/>
  <c r="AQ57" i="5"/>
  <c r="AR38" i="5"/>
  <c r="AQ440" i="5"/>
  <c r="BI89" i="5"/>
  <c r="BJ89" i="5" s="1"/>
  <c r="AQ474" i="5"/>
  <c r="BI341" i="5"/>
  <c r="BJ341" i="5" s="1"/>
  <c r="AQ38" i="5"/>
  <c r="AQ89" i="5"/>
  <c r="BI474" i="5"/>
  <c r="BJ474" i="5" s="1"/>
  <c r="AR531" i="5"/>
  <c r="AR341" i="5"/>
  <c r="BI531" i="5"/>
  <c r="BJ531" i="5" s="1"/>
  <c r="AQ494" i="5"/>
  <c r="BI255" i="5"/>
  <c r="BK255" i="5" s="1"/>
  <c r="AR494" i="5"/>
  <c r="AR425" i="5"/>
  <c r="AR255" i="5"/>
  <c r="AR549" i="5"/>
  <c r="AR547" i="5"/>
  <c r="BI539" i="5"/>
  <c r="BJ539" i="5" s="1"/>
  <c r="BI72" i="5"/>
  <c r="BJ72" i="5" s="1"/>
  <c r="AQ549" i="5"/>
  <c r="AQ547" i="5"/>
  <c r="AQ539" i="5"/>
  <c r="BI433" i="5"/>
  <c r="BJ433" i="5" s="1"/>
  <c r="AR72" i="5"/>
  <c r="AR316" i="5"/>
  <c r="AQ30" i="5"/>
  <c r="AQ433" i="5"/>
  <c r="BI187" i="5"/>
  <c r="BJ187" i="5" s="1"/>
  <c r="AR195" i="5"/>
  <c r="AR90" i="5"/>
  <c r="AR353" i="5"/>
  <c r="AQ187" i="5"/>
  <c r="AR311" i="5"/>
  <c r="AQ116" i="5"/>
  <c r="AQ195" i="5"/>
  <c r="BI90" i="5"/>
  <c r="BJ90" i="5" s="1"/>
  <c r="BI299" i="5"/>
  <c r="BK299" i="5" s="1"/>
  <c r="BI353" i="5"/>
  <c r="BJ353" i="5" s="1"/>
  <c r="AQ225" i="5"/>
  <c r="AQ359" i="5"/>
  <c r="BI311" i="5"/>
  <c r="BK311" i="5" s="1"/>
  <c r="AQ156" i="5"/>
  <c r="AR377" i="5"/>
  <c r="AQ299" i="5"/>
  <c r="AQ262" i="5"/>
  <c r="AQ502" i="5"/>
  <c r="BI225" i="5"/>
  <c r="BJ225" i="5" s="1"/>
  <c r="BI359" i="5"/>
  <c r="BK359" i="5" s="1"/>
  <c r="BI288" i="5"/>
  <c r="BK288" i="5" s="1"/>
  <c r="BI377" i="5"/>
  <c r="BK377" i="5" s="1"/>
  <c r="AR461" i="5"/>
  <c r="AR262" i="5"/>
  <c r="AR46" i="5"/>
  <c r="BI502" i="5"/>
  <c r="BJ502" i="5" s="1"/>
  <c r="AQ556" i="5"/>
  <c r="AR288" i="5"/>
  <c r="AR337" i="5"/>
  <c r="BI247" i="5"/>
  <c r="BJ247" i="5" s="1"/>
  <c r="BI461" i="5"/>
  <c r="BJ461" i="5" s="1"/>
  <c r="AQ385" i="5"/>
  <c r="AQ46" i="5"/>
  <c r="AQ423" i="5"/>
  <c r="BI556" i="5"/>
  <c r="BK556" i="5" s="1"/>
  <c r="AR61" i="5"/>
  <c r="BI396" i="5"/>
  <c r="BJ396" i="5" s="1"/>
  <c r="Z55" i="4"/>
  <c r="AQ10" i="5"/>
  <c r="Z54" i="4"/>
  <c r="Z105" i="4"/>
  <c r="AK105" i="4" s="1"/>
  <c r="AL105" i="4" s="1"/>
  <c r="AA151" i="4"/>
  <c r="AQ151" i="4" s="1"/>
  <c r="AA105" i="4"/>
  <c r="AQ105" i="4" s="1"/>
  <c r="Z142" i="4"/>
  <c r="AN142" i="4" s="1"/>
  <c r="AA148" i="4"/>
  <c r="AP148" i="4" s="1"/>
  <c r="AA142" i="4"/>
  <c r="AP142" i="4" s="1"/>
  <c r="Z78" i="4"/>
  <c r="AK78" i="4" s="1"/>
  <c r="AL78" i="4" s="1"/>
  <c r="AA85" i="4"/>
  <c r="AP85" i="4" s="1"/>
  <c r="AA129" i="4"/>
  <c r="AC129" i="4" s="1"/>
  <c r="AD129" i="4" s="1"/>
  <c r="Z85" i="4"/>
  <c r="AN85" i="4" s="1"/>
  <c r="Z129" i="4"/>
  <c r="AN129" i="4" s="1"/>
  <c r="AA114" i="4"/>
  <c r="AC114" i="4" s="1"/>
  <c r="AD114" i="4" s="1"/>
  <c r="Z63" i="4"/>
  <c r="AN63" i="4" s="1"/>
  <c r="Z114" i="4"/>
  <c r="AK114" i="4" s="1"/>
  <c r="AL114" i="4" s="1"/>
  <c r="AA78" i="4"/>
  <c r="AQ78" i="4" s="1"/>
  <c r="Z134" i="4"/>
  <c r="AK134" i="4" s="1"/>
  <c r="AL134" i="4" s="1"/>
  <c r="AA117" i="4"/>
  <c r="AQ117" i="4" s="1"/>
  <c r="Z61" i="4"/>
  <c r="AA134" i="4"/>
  <c r="AP134" i="4" s="1"/>
  <c r="Z152" i="4"/>
  <c r="AN152" i="4" s="1"/>
  <c r="AA152" i="4"/>
  <c r="AP152" i="4" s="1"/>
  <c r="Z101" i="4"/>
  <c r="AF101" i="4" s="1"/>
  <c r="AG101" i="4" s="1"/>
  <c r="AI101" i="4" s="1"/>
  <c r="AA149" i="4"/>
  <c r="AQ149" i="4" s="1"/>
  <c r="AA155" i="4"/>
  <c r="AP155" i="4" s="1"/>
  <c r="Z133" i="4"/>
  <c r="AN133" i="4" s="1"/>
  <c r="Z69" i="4"/>
  <c r="AK69" i="4" s="1"/>
  <c r="AL69" i="4" s="1"/>
  <c r="Z95" i="4"/>
  <c r="AN95" i="4" s="1"/>
  <c r="Z110" i="4"/>
  <c r="AN110" i="4" s="1"/>
  <c r="AA97" i="4"/>
  <c r="AP97" i="4" s="1"/>
  <c r="Z111" i="4"/>
  <c r="AK111" i="4" s="1"/>
  <c r="AL111" i="4" s="1"/>
  <c r="AA113" i="4"/>
  <c r="AQ113" i="4" s="1"/>
  <c r="Z106" i="4"/>
  <c r="AN106" i="4" s="1"/>
  <c r="AA95" i="4"/>
  <c r="AQ95" i="4" s="1"/>
  <c r="Z65" i="4"/>
  <c r="AA112" i="4"/>
  <c r="AC112" i="4" s="1"/>
  <c r="AD112" i="4" s="1"/>
  <c r="AA110" i="4"/>
  <c r="AQ110" i="4" s="1"/>
  <c r="Z113" i="4"/>
  <c r="AK113" i="4" s="1"/>
  <c r="AL113" i="4" s="1"/>
  <c r="AA135" i="4"/>
  <c r="AC135" i="4" s="1"/>
  <c r="AD135" i="4" s="1"/>
  <c r="AA106" i="4"/>
  <c r="AC106" i="4" s="1"/>
  <c r="AD106" i="4" s="1"/>
  <c r="AA111" i="4"/>
  <c r="AP111" i="4" s="1"/>
  <c r="Z59" i="4"/>
  <c r="Z112" i="4"/>
  <c r="AK112" i="4" s="1"/>
  <c r="AL112" i="4" s="1"/>
  <c r="Z117" i="4"/>
  <c r="AK117" i="4" s="1"/>
  <c r="AL117" i="4" s="1"/>
  <c r="Z135" i="4"/>
  <c r="AN135" i="4" s="1"/>
  <c r="Z57" i="4"/>
  <c r="AA141" i="4"/>
  <c r="AQ141" i="4" s="1"/>
  <c r="AA156" i="4"/>
  <c r="AQ156" i="4" s="1"/>
  <c r="AA92" i="4"/>
  <c r="AQ92" i="4" s="1"/>
  <c r="AA79" i="4"/>
  <c r="AP79" i="4" s="1"/>
  <c r="Z94" i="4"/>
  <c r="AF94" i="4" s="1"/>
  <c r="AG94" i="4" s="1"/>
  <c r="AI94" i="4" s="1"/>
  <c r="Z140" i="4"/>
  <c r="AK140" i="4" s="1"/>
  <c r="AL140" i="4" s="1"/>
  <c r="AA108" i="4"/>
  <c r="AC108" i="4" s="1"/>
  <c r="AD108" i="4" s="1"/>
  <c r="Z137" i="4"/>
  <c r="AF137" i="4" s="1"/>
  <c r="AG137" i="4" s="1"/>
  <c r="AI137" i="4" s="1"/>
  <c r="Z141" i="4"/>
  <c r="AN141" i="4" s="1"/>
  <c r="Z90" i="4"/>
  <c r="AF90" i="4" s="1"/>
  <c r="AG90" i="4" s="1"/>
  <c r="AI90" i="4" s="1"/>
  <c r="Z67" i="4"/>
  <c r="AK67" i="4" s="1"/>
  <c r="AL67" i="4" s="1"/>
  <c r="AA137" i="4"/>
  <c r="AP137" i="4" s="1"/>
  <c r="Z156" i="4"/>
  <c r="AK156" i="4" s="1"/>
  <c r="AL156" i="4" s="1"/>
  <c r="AA94" i="4"/>
  <c r="AQ94" i="4" s="1"/>
  <c r="Z102" i="4"/>
  <c r="AN102" i="4" s="1"/>
  <c r="AA140" i="4"/>
  <c r="AC140" i="4" s="1"/>
  <c r="AD140" i="4" s="1"/>
  <c r="Z118" i="4"/>
  <c r="AK118" i="4" s="1"/>
  <c r="AL118" i="4" s="1"/>
  <c r="Z77" i="4"/>
  <c r="AN77" i="4" s="1"/>
  <c r="Z60" i="4"/>
  <c r="AA109" i="4"/>
  <c r="AP109" i="4" s="1"/>
  <c r="Z108" i="4"/>
  <c r="AK108" i="4" s="1"/>
  <c r="AL108" i="4" s="1"/>
  <c r="Z93" i="4"/>
  <c r="AN93" i="4" s="1"/>
  <c r="AA102" i="4"/>
  <c r="AQ102" i="4" s="1"/>
  <c r="AA90" i="4"/>
  <c r="AC90" i="4" s="1"/>
  <c r="AD90" i="4" s="1"/>
  <c r="AA77" i="4"/>
  <c r="AC77" i="4" s="1"/>
  <c r="AD77" i="4" s="1"/>
  <c r="Z79" i="4"/>
  <c r="AN79" i="4" s="1"/>
  <c r="AA93" i="4"/>
  <c r="AQ93" i="4" s="1"/>
  <c r="AA67" i="4"/>
  <c r="AC67" i="4" s="1"/>
  <c r="AD67" i="4" s="1"/>
  <c r="AA101" i="4"/>
  <c r="AP101" i="4" s="1"/>
  <c r="AA98" i="4"/>
  <c r="AP98" i="4" s="1"/>
  <c r="AA96" i="4"/>
  <c r="AQ96" i="4" s="1"/>
  <c r="Z149" i="4"/>
  <c r="AK149" i="4" s="1"/>
  <c r="AL149" i="4" s="1"/>
  <c r="AA81" i="4"/>
  <c r="AP81" i="4" s="1"/>
  <c r="Z98" i="4"/>
  <c r="AK98" i="4" s="1"/>
  <c r="AL98" i="4" s="1"/>
  <c r="AA136" i="4"/>
  <c r="AC136" i="4" s="1"/>
  <c r="AD136" i="4" s="1"/>
  <c r="Z96" i="4"/>
  <c r="AN96" i="4" s="1"/>
  <c r="Z75" i="4"/>
  <c r="AF75" i="4" s="1"/>
  <c r="AG75" i="4" s="1"/>
  <c r="AI75" i="4" s="1"/>
  <c r="Z122" i="4"/>
  <c r="AN122" i="4" s="1"/>
  <c r="AA143" i="4"/>
  <c r="AQ143" i="4" s="1"/>
  <c r="AA74" i="4"/>
  <c r="AP74" i="4" s="1"/>
  <c r="AA66" i="4"/>
  <c r="AQ66" i="4" s="1"/>
  <c r="Z81" i="4"/>
  <c r="AN81" i="4" s="1"/>
  <c r="Z136" i="4"/>
  <c r="AN136" i="4" s="1"/>
  <c r="Z89" i="4"/>
  <c r="AK89" i="4" s="1"/>
  <c r="AL89" i="4" s="1"/>
  <c r="AA75" i="4"/>
  <c r="AP75" i="4" s="1"/>
  <c r="AA133" i="4"/>
  <c r="AP133" i="4" s="1"/>
  <c r="Z66" i="4"/>
  <c r="AF66" i="4" s="1"/>
  <c r="AG66" i="4" s="1"/>
  <c r="AI66" i="4" s="1"/>
  <c r="AA122" i="4"/>
  <c r="AQ122" i="4" s="1"/>
  <c r="AA89" i="4"/>
  <c r="AQ89" i="4" s="1"/>
  <c r="Z82" i="4"/>
  <c r="AK82" i="4" s="1"/>
  <c r="AL82" i="4" s="1"/>
  <c r="Z143" i="4"/>
  <c r="AN143" i="4" s="1"/>
  <c r="AA121" i="4"/>
  <c r="AP121" i="4" s="1"/>
  <c r="Z155" i="4"/>
  <c r="AN155" i="4" s="1"/>
  <c r="Z74" i="4"/>
  <c r="AN74" i="4" s="1"/>
  <c r="Z121" i="4"/>
  <c r="AK121" i="4" s="1"/>
  <c r="AL121" i="4" s="1"/>
  <c r="AA82" i="4"/>
  <c r="AQ82" i="4" s="1"/>
  <c r="Z128" i="4"/>
  <c r="AK128" i="4" s="1"/>
  <c r="AL128" i="4" s="1"/>
  <c r="Z144" i="4"/>
  <c r="AK144" i="4" s="1"/>
  <c r="AL144" i="4" s="1"/>
  <c r="Z125" i="4"/>
  <c r="AN125" i="4" s="1"/>
  <c r="AA116" i="4"/>
  <c r="AC116" i="4" s="1"/>
  <c r="AD116" i="4" s="1"/>
  <c r="AA124" i="4"/>
  <c r="AQ124" i="4" s="1"/>
  <c r="AA144" i="4"/>
  <c r="AC144" i="4" s="1"/>
  <c r="AD144" i="4" s="1"/>
  <c r="Z76" i="4"/>
  <c r="AF76" i="4" s="1"/>
  <c r="AG76" i="4" s="1"/>
  <c r="AI76" i="4" s="1"/>
  <c r="Z97" i="4"/>
  <c r="AK97" i="4" s="1"/>
  <c r="AL97" i="4" s="1"/>
  <c r="Z116" i="4"/>
  <c r="AK116" i="4" s="1"/>
  <c r="AL116" i="4" s="1"/>
  <c r="Z124" i="4"/>
  <c r="AF124" i="4" s="1"/>
  <c r="AG124" i="4" s="1"/>
  <c r="AI124" i="4" s="1"/>
  <c r="AA128" i="4"/>
  <c r="AC128" i="4" s="1"/>
  <c r="AD128" i="4" s="1"/>
  <c r="AA69" i="4"/>
  <c r="AQ69" i="4" s="1"/>
  <c r="AA118" i="4"/>
  <c r="AQ118" i="4" s="1"/>
  <c r="Z62" i="4"/>
  <c r="AF62" i="4" s="1"/>
  <c r="AG62" i="4" s="1"/>
  <c r="AI62" i="4" s="1"/>
  <c r="AJ17" i="4"/>
  <c r="AA16" i="4"/>
  <c r="AC16" i="4" s="1"/>
  <c r="AD16" i="4" s="1"/>
  <c r="AA22" i="4"/>
  <c r="AC22" i="4" s="1"/>
  <c r="AD22" i="4" s="1"/>
  <c r="AA12" i="4"/>
  <c r="AQ12" i="4" s="1"/>
  <c r="AA19" i="4"/>
  <c r="AP19" i="4" s="1"/>
  <c r="AA14" i="4"/>
  <c r="AQ14" i="4" s="1"/>
  <c r="AA20" i="4"/>
  <c r="AQ20" i="4" s="1"/>
  <c r="AA10" i="4"/>
  <c r="AP10" i="4" s="1"/>
  <c r="AA11" i="4"/>
  <c r="AQ11" i="4" s="1"/>
  <c r="AA23" i="4"/>
  <c r="AP23" i="4" s="1"/>
  <c r="AA24" i="4"/>
  <c r="AP24" i="4" s="1"/>
  <c r="AA9" i="4"/>
  <c r="AC9" i="4" s="1"/>
  <c r="AD9" i="4" s="1"/>
  <c r="AA21" i="4"/>
  <c r="AQ21" i="4" s="1"/>
  <c r="AA8" i="4"/>
  <c r="AC8" i="4" s="1"/>
  <c r="AD8" i="4" s="1"/>
  <c r="AA15" i="4"/>
  <c r="AQ15" i="4" s="1"/>
  <c r="AA18" i="4"/>
  <c r="AP18" i="4" s="1"/>
  <c r="AA13" i="4"/>
  <c r="AP13" i="4" s="1"/>
  <c r="AA7" i="4"/>
  <c r="AC7" i="4" s="1"/>
  <c r="AD7" i="4" s="1"/>
  <c r="AA25" i="4"/>
  <c r="AP25" i="4" s="1"/>
  <c r="AQ7" i="5"/>
  <c r="B209" i="2" s="1"/>
  <c r="B214" i="2" s="1"/>
  <c r="B215" i="2" s="1"/>
  <c r="B188" i="2"/>
  <c r="B222" i="2" s="1"/>
  <c r="F68" i="1" s="1"/>
  <c r="B190" i="2"/>
  <c r="B226" i="2" s="1"/>
  <c r="F70" i="1" s="1"/>
  <c r="AC418" i="5"/>
  <c r="AD418" i="5" s="1"/>
  <c r="AN28" i="4"/>
  <c r="AK28" i="4"/>
  <c r="AL28" i="4" s="1"/>
  <c r="AF28" i="4"/>
  <c r="AG28" i="4" s="1"/>
  <c r="AI28" i="4" s="1"/>
  <c r="BK118" i="5"/>
  <c r="BJ118" i="5"/>
  <c r="AN45" i="4"/>
  <c r="AF45" i="4"/>
  <c r="AG45" i="4" s="1"/>
  <c r="AI45" i="4" s="1"/>
  <c r="AQ132" i="4"/>
  <c r="AP132" i="4"/>
  <c r="AC132" i="4"/>
  <c r="AD132" i="4" s="1"/>
  <c r="AN17" i="4"/>
  <c r="AF17" i="4"/>
  <c r="AG17" i="4" s="1"/>
  <c r="AI17" i="4" s="1"/>
  <c r="AK17" i="4"/>
  <c r="AL17" i="4" s="1"/>
  <c r="AP115" i="4"/>
  <c r="AQ115" i="4"/>
  <c r="AC115" i="4"/>
  <c r="AD115" i="4" s="1"/>
  <c r="AN40" i="4"/>
  <c r="AF40" i="4"/>
  <c r="AG40" i="4" s="1"/>
  <c r="AI40" i="4" s="1"/>
  <c r="AQ38" i="4"/>
  <c r="AP38" i="4"/>
  <c r="AC38" i="4"/>
  <c r="AD38" i="4" s="1"/>
  <c r="AK13" i="4"/>
  <c r="AL13" i="4" s="1"/>
  <c r="AN13" i="4"/>
  <c r="AF13" i="4"/>
  <c r="AG13" i="4" s="1"/>
  <c r="AI13" i="4" s="1"/>
  <c r="AP83" i="4"/>
  <c r="AQ83" i="4"/>
  <c r="AC83" i="4"/>
  <c r="AD83" i="4" s="1"/>
  <c r="AK31" i="4"/>
  <c r="AL31" i="4" s="1"/>
  <c r="AN31" i="4"/>
  <c r="AF31" i="4"/>
  <c r="AG31" i="4" s="1"/>
  <c r="AI31" i="4" s="1"/>
  <c r="AQ148" i="5"/>
  <c r="BI148" i="5"/>
  <c r="AR148" i="5"/>
  <c r="BJ451" i="5"/>
  <c r="BK451" i="5"/>
  <c r="BJ257" i="5"/>
  <c r="BK257" i="5"/>
  <c r="AN36" i="4"/>
  <c r="AF36" i="4"/>
  <c r="AG36" i="4" s="1"/>
  <c r="AI36" i="4" s="1"/>
  <c r="AN12" i="4"/>
  <c r="AF12" i="4"/>
  <c r="AG12" i="4" s="1"/>
  <c r="AI12" i="4" s="1"/>
  <c r="AK12" i="4"/>
  <c r="AL12" i="4" s="1"/>
  <c r="BK499" i="5"/>
  <c r="BJ499" i="5"/>
  <c r="BK122" i="5"/>
  <c r="BJ122" i="5"/>
  <c r="BJ19" i="5"/>
  <c r="BK19" i="5"/>
  <c r="BK216" i="5"/>
  <c r="BJ216" i="5"/>
  <c r="BJ429" i="5"/>
  <c r="BK429" i="5"/>
  <c r="BI504" i="5"/>
  <c r="AR504" i="5"/>
  <c r="AQ504" i="5"/>
  <c r="BI419" i="5"/>
  <c r="AQ419" i="5"/>
  <c r="AR419" i="5"/>
  <c r="BJ549" i="5"/>
  <c r="BK549" i="5"/>
  <c r="BJ320" i="5"/>
  <c r="BK320" i="5"/>
  <c r="AR462" i="5"/>
  <c r="AQ462" i="5"/>
  <c r="BI462" i="5"/>
  <c r="BJ223" i="5"/>
  <c r="BK223" i="5"/>
  <c r="BI284" i="5"/>
  <c r="AR284" i="5"/>
  <c r="AQ284" i="5"/>
  <c r="AR186" i="5"/>
  <c r="AQ186" i="5"/>
  <c r="BI186" i="5"/>
  <c r="BK147" i="5"/>
  <c r="BJ147" i="5"/>
  <c r="BK518" i="5"/>
  <c r="BJ518" i="5"/>
  <c r="AQ146" i="4"/>
  <c r="AP146" i="4"/>
  <c r="AC146" i="4"/>
  <c r="AD146" i="4" s="1"/>
  <c r="AN64" i="4"/>
  <c r="AF64" i="4"/>
  <c r="AG64" i="4" s="1"/>
  <c r="AI64" i="4" s="1"/>
  <c r="AN37" i="4"/>
  <c r="AF37" i="4"/>
  <c r="AG37" i="4" s="1"/>
  <c r="AI37" i="4" s="1"/>
  <c r="AK37" i="4"/>
  <c r="AL37" i="4" s="1"/>
  <c r="AK68" i="4"/>
  <c r="AL68" i="4" s="1"/>
  <c r="AN68" i="4"/>
  <c r="AF68" i="4"/>
  <c r="AG68" i="4" s="1"/>
  <c r="AI68" i="4" s="1"/>
  <c r="AK119" i="4"/>
  <c r="AL119" i="4" s="1"/>
  <c r="AN119" i="4"/>
  <c r="AF119" i="4"/>
  <c r="AG119" i="4" s="1"/>
  <c r="AI119" i="4" s="1"/>
  <c r="AN43" i="4"/>
  <c r="AK43" i="4"/>
  <c r="AL43" i="4" s="1"/>
  <c r="AF43" i="4"/>
  <c r="AG43" i="4" s="1"/>
  <c r="AI43" i="4" s="1"/>
  <c r="AN84" i="4"/>
  <c r="AK84" i="4"/>
  <c r="AL84" i="4" s="1"/>
  <c r="AF84" i="4"/>
  <c r="AG84" i="4" s="1"/>
  <c r="AI84" i="4" s="1"/>
  <c r="AP84" i="4"/>
  <c r="AQ84" i="4"/>
  <c r="AC84" i="4"/>
  <c r="AD84" i="4" s="1"/>
  <c r="AK70" i="4"/>
  <c r="AL70" i="4" s="1"/>
  <c r="AN70" i="4"/>
  <c r="AF70" i="4"/>
  <c r="AG70" i="4" s="1"/>
  <c r="AI70" i="4" s="1"/>
  <c r="BJ431" i="5"/>
  <c r="BK431" i="5"/>
  <c r="BK381" i="5"/>
  <c r="BJ381" i="5"/>
  <c r="BK417" i="5"/>
  <c r="BJ417" i="5"/>
  <c r="BJ211" i="5"/>
  <c r="BK211" i="5"/>
  <c r="BJ47" i="5"/>
  <c r="BK47" i="5"/>
  <c r="BK406" i="5"/>
  <c r="BJ406" i="5"/>
  <c r="AQ386" i="5"/>
  <c r="BI386" i="5"/>
  <c r="AR386" i="5"/>
  <c r="BK352" i="5"/>
  <c r="BJ352" i="5"/>
  <c r="S9" i="5"/>
  <c r="R9" i="5"/>
  <c r="R135" i="5"/>
  <c r="S135" i="5"/>
  <c r="R432" i="5"/>
  <c r="S432" i="5"/>
  <c r="S381" i="5"/>
  <c r="R381" i="5"/>
  <c r="S151" i="5"/>
  <c r="R151" i="5"/>
  <c r="R129" i="5"/>
  <c r="S129" i="5"/>
  <c r="S222" i="5"/>
  <c r="R222" i="5"/>
  <c r="R107" i="5"/>
  <c r="S107" i="5"/>
  <c r="R240" i="5"/>
  <c r="S240" i="5"/>
  <c r="S34" i="5"/>
  <c r="R34" i="5"/>
  <c r="R454" i="5"/>
  <c r="S454" i="5"/>
  <c r="R257" i="5"/>
  <c r="S257" i="5"/>
  <c r="S378" i="5"/>
  <c r="R378" i="5"/>
  <c r="S223" i="5"/>
  <c r="R223" i="5"/>
  <c r="R125" i="5"/>
  <c r="S125" i="5"/>
  <c r="R128" i="5"/>
  <c r="S128" i="5"/>
  <c r="S253" i="5"/>
  <c r="R253" i="5"/>
  <c r="R419" i="5"/>
  <c r="S419" i="5"/>
  <c r="R533" i="5"/>
  <c r="S533" i="5"/>
  <c r="S343" i="5"/>
  <c r="R343" i="5"/>
  <c r="R37" i="5"/>
  <c r="S37" i="5"/>
  <c r="R401" i="5"/>
  <c r="S401" i="5"/>
  <c r="S536" i="5"/>
  <c r="R536" i="5"/>
  <c r="R489" i="5"/>
  <c r="S489" i="5"/>
  <c r="S324" i="5"/>
  <c r="R324" i="5"/>
  <c r="R508" i="5"/>
  <c r="S508" i="5"/>
  <c r="R444" i="5"/>
  <c r="S444" i="5"/>
  <c r="S289" i="5"/>
  <c r="R289" i="5"/>
  <c r="R259" i="5"/>
  <c r="S259" i="5"/>
  <c r="R20" i="5"/>
  <c r="S20" i="5"/>
  <c r="S486" i="5"/>
  <c r="R486" i="5"/>
  <c r="S195" i="5"/>
  <c r="R195" i="5"/>
  <c r="S178" i="5"/>
  <c r="R178" i="5"/>
  <c r="S126" i="5"/>
  <c r="R126" i="5"/>
  <c r="R85" i="5"/>
  <c r="S85" i="5"/>
  <c r="S556" i="5"/>
  <c r="R556" i="5"/>
  <c r="R546" i="5"/>
  <c r="S546" i="5"/>
  <c r="S59" i="5"/>
  <c r="R59" i="5"/>
  <c r="R203" i="5"/>
  <c r="S203" i="5"/>
  <c r="R147" i="5"/>
  <c r="S147" i="5"/>
  <c r="S232" i="5"/>
  <c r="R232" i="5"/>
  <c r="R162" i="5"/>
  <c r="S162" i="5"/>
  <c r="S420" i="5"/>
  <c r="R420" i="5"/>
  <c r="S41" i="5"/>
  <c r="R41" i="5"/>
  <c r="S406" i="5"/>
  <c r="R406" i="5"/>
  <c r="R270" i="5"/>
  <c r="S270" i="5"/>
  <c r="S49" i="5"/>
  <c r="R49" i="5"/>
  <c r="S519" i="5"/>
  <c r="R519" i="5"/>
  <c r="S83" i="5"/>
  <c r="R83" i="5"/>
  <c r="S196" i="5"/>
  <c r="R196" i="5"/>
  <c r="S205" i="5"/>
  <c r="R205" i="5"/>
  <c r="S491" i="5"/>
  <c r="R491" i="5"/>
  <c r="R340" i="5"/>
  <c r="S340" i="5"/>
  <c r="S380" i="5"/>
  <c r="R380" i="5"/>
  <c r="R469" i="5"/>
  <c r="S469" i="5"/>
  <c r="S297" i="5"/>
  <c r="R297" i="5"/>
  <c r="S153" i="5"/>
  <c r="R153" i="5"/>
  <c r="R216" i="5"/>
  <c r="S216" i="5"/>
  <c r="S84" i="5"/>
  <c r="R84" i="5"/>
  <c r="S511" i="5"/>
  <c r="R511" i="5"/>
  <c r="R403" i="5"/>
  <c r="S403" i="5"/>
  <c r="S77" i="5"/>
  <c r="R77" i="5"/>
  <c r="R358" i="5"/>
  <c r="S358" i="5"/>
  <c r="S198" i="5"/>
  <c r="R198" i="5"/>
  <c r="S262" i="5"/>
  <c r="R262" i="5"/>
  <c r="S160" i="5"/>
  <c r="R160" i="5"/>
  <c r="R307" i="5"/>
  <c r="S307" i="5"/>
  <c r="S100" i="5"/>
  <c r="R100" i="5"/>
  <c r="S437" i="5"/>
  <c r="R437" i="5"/>
  <c r="R525" i="5"/>
  <c r="S525" i="5"/>
  <c r="R312" i="5"/>
  <c r="S312" i="5"/>
  <c r="R189" i="5"/>
  <c r="S189" i="5"/>
  <c r="S258" i="5"/>
  <c r="R258" i="5"/>
  <c r="R239" i="5"/>
  <c r="S239" i="5"/>
  <c r="S171" i="5"/>
  <c r="R171" i="5"/>
  <c r="R31" i="5"/>
  <c r="S31" i="5"/>
  <c r="R230" i="5"/>
  <c r="S230" i="5"/>
  <c r="S433" i="5"/>
  <c r="R433" i="5"/>
  <c r="R106" i="5"/>
  <c r="S106" i="5"/>
  <c r="S494" i="5"/>
  <c r="R494" i="5"/>
  <c r="R431" i="5"/>
  <c r="S431" i="5"/>
  <c r="R429" i="5"/>
  <c r="S429" i="5"/>
  <c r="R553" i="5"/>
  <c r="S553" i="5"/>
  <c r="R446" i="5"/>
  <c r="S446" i="5"/>
  <c r="R379" i="5"/>
  <c r="S379" i="5"/>
  <c r="S200" i="5"/>
  <c r="R200" i="5"/>
  <c r="R228" i="5"/>
  <c r="S228" i="5"/>
  <c r="S164" i="5"/>
  <c r="R164" i="5"/>
  <c r="S370" i="5"/>
  <c r="R370" i="5"/>
  <c r="S552" i="5"/>
  <c r="R552" i="5"/>
  <c r="S140" i="5"/>
  <c r="R140" i="5"/>
  <c r="S467" i="5"/>
  <c r="R467" i="5"/>
  <c r="S414" i="5"/>
  <c r="R414" i="5"/>
  <c r="R427" i="5"/>
  <c r="S427" i="5"/>
  <c r="R473" i="5"/>
  <c r="S473" i="5"/>
  <c r="R74" i="5"/>
  <c r="S74" i="5"/>
  <c r="S248" i="5"/>
  <c r="R248" i="5"/>
  <c r="S261" i="5"/>
  <c r="R261" i="5"/>
  <c r="S163" i="5"/>
  <c r="R163" i="5"/>
  <c r="S320" i="5"/>
  <c r="R320" i="5"/>
  <c r="R172" i="5"/>
  <c r="S172" i="5"/>
  <c r="S349" i="5"/>
  <c r="R349" i="5"/>
  <c r="S197" i="5"/>
  <c r="R197" i="5"/>
  <c r="R19" i="5"/>
  <c r="S19" i="5"/>
  <c r="S82" i="5"/>
  <c r="R82" i="5"/>
  <c r="S315" i="5"/>
  <c r="R315" i="5"/>
  <c r="R535" i="5"/>
  <c r="S535" i="5"/>
  <c r="S296" i="5"/>
  <c r="R296" i="5"/>
  <c r="R346" i="5"/>
  <c r="S346" i="5"/>
  <c r="S393" i="5"/>
  <c r="R393" i="5"/>
  <c r="S149" i="5"/>
  <c r="R149" i="5"/>
  <c r="S204" i="5"/>
  <c r="R204" i="5"/>
  <c r="S187" i="5"/>
  <c r="R187" i="5"/>
  <c r="S506" i="5"/>
  <c r="R506" i="5"/>
  <c r="S412" i="5"/>
  <c r="R412" i="5"/>
  <c r="R66" i="5"/>
  <c r="S66" i="5"/>
  <c r="S434" i="5"/>
  <c r="R434" i="5"/>
  <c r="R461" i="5"/>
  <c r="S461" i="5"/>
  <c r="S72" i="5"/>
  <c r="R72" i="5"/>
  <c r="R389" i="5"/>
  <c r="S389" i="5"/>
  <c r="R529" i="5"/>
  <c r="S529" i="5"/>
  <c r="R350" i="5"/>
  <c r="S350" i="5"/>
  <c r="S111" i="5"/>
  <c r="R111" i="5"/>
  <c r="S542" i="5"/>
  <c r="R542" i="5"/>
  <c r="R269" i="5"/>
  <c r="S269" i="5"/>
  <c r="R460" i="5"/>
  <c r="S460" i="5"/>
  <c r="R123" i="5"/>
  <c r="S123" i="5"/>
  <c r="S168" i="5"/>
  <c r="R168" i="5"/>
  <c r="R137" i="5"/>
  <c r="S137" i="5"/>
  <c r="R69" i="5"/>
  <c r="S69" i="5"/>
  <c r="R400" i="5"/>
  <c r="S400" i="5"/>
  <c r="R416" i="5"/>
  <c r="S416" i="5"/>
  <c r="R504" i="5"/>
  <c r="S504" i="5"/>
  <c r="R495" i="5"/>
  <c r="S495" i="5"/>
  <c r="R459" i="5"/>
  <c r="S459" i="5"/>
  <c r="R150" i="5"/>
  <c r="S150" i="5"/>
  <c r="Q11" i="5"/>
  <c r="AG11" i="5"/>
  <c r="AT11" i="5"/>
  <c r="AM11" i="5"/>
  <c r="AZ11" i="5"/>
  <c r="T11" i="5"/>
  <c r="AW11" i="5"/>
  <c r="AJ11" i="5"/>
  <c r="W11" i="5"/>
  <c r="Z11" i="5"/>
  <c r="AN103" i="4"/>
  <c r="AK103" i="4"/>
  <c r="AL103" i="4" s="1"/>
  <c r="AF103" i="4"/>
  <c r="AG103" i="4" s="1"/>
  <c r="AI103" i="4" s="1"/>
  <c r="AP103" i="4"/>
  <c r="AQ103" i="4"/>
  <c r="AC103" i="4"/>
  <c r="AD103" i="4" s="1"/>
  <c r="BE9" i="5"/>
  <c r="BD9" i="5"/>
  <c r="AP147" i="4"/>
  <c r="AC147" i="4"/>
  <c r="AD147" i="4" s="1"/>
  <c r="AQ147" i="4"/>
  <c r="AN30" i="4"/>
  <c r="AK30" i="4"/>
  <c r="AL30" i="4" s="1"/>
  <c r="AF30" i="4"/>
  <c r="AG30" i="4" s="1"/>
  <c r="AI30" i="4" s="1"/>
  <c r="AK44" i="4"/>
  <c r="AL44" i="4" s="1"/>
  <c r="AN44" i="4"/>
  <c r="AF44" i="4"/>
  <c r="AG44" i="4" s="1"/>
  <c r="AI44" i="4" s="1"/>
  <c r="AK33" i="4"/>
  <c r="AL33" i="4" s="1"/>
  <c r="AF33" i="4"/>
  <c r="AG33" i="4" s="1"/>
  <c r="AI33" i="4" s="1"/>
  <c r="AN33" i="4"/>
  <c r="BJ445" i="5"/>
  <c r="BK445" i="5"/>
  <c r="AR500" i="5"/>
  <c r="BI500" i="5"/>
  <c r="AQ500" i="5"/>
  <c r="AQ127" i="5"/>
  <c r="BI127" i="5"/>
  <c r="AR127" i="5"/>
  <c r="BK465" i="5"/>
  <c r="BJ465" i="5"/>
  <c r="BJ425" i="5"/>
  <c r="BK425" i="5"/>
  <c r="AK107" i="4"/>
  <c r="AL107" i="4" s="1"/>
  <c r="AN107" i="4"/>
  <c r="AF107" i="4"/>
  <c r="AG107" i="4" s="1"/>
  <c r="AI107" i="4" s="1"/>
  <c r="AN11" i="4"/>
  <c r="AK11" i="4"/>
  <c r="AL11" i="4" s="1"/>
  <c r="AF11" i="4"/>
  <c r="AG11" i="4" s="1"/>
  <c r="AI11" i="4" s="1"/>
  <c r="AN18" i="4"/>
  <c r="AF18" i="4"/>
  <c r="AG18" i="4" s="1"/>
  <c r="AI18" i="4" s="1"/>
  <c r="AK18" i="4"/>
  <c r="AL18" i="4" s="1"/>
  <c r="AN19" i="4"/>
  <c r="AK19" i="4"/>
  <c r="AL19" i="4" s="1"/>
  <c r="AF19" i="4"/>
  <c r="AG19" i="4" s="1"/>
  <c r="AI19" i="4" s="1"/>
  <c r="AF7" i="4"/>
  <c r="AG7" i="4" s="1"/>
  <c r="AI7" i="4" s="1"/>
  <c r="AN7" i="4"/>
  <c r="AK7" i="4"/>
  <c r="AL7" i="4" s="1"/>
  <c r="AK83" i="4"/>
  <c r="AL83" i="4" s="1"/>
  <c r="AN83" i="4"/>
  <c r="AF83" i="4"/>
  <c r="AG83" i="4" s="1"/>
  <c r="AI83" i="4" s="1"/>
  <c r="AR9" i="5"/>
  <c r="AQ9" i="5"/>
  <c r="BI9" i="5"/>
  <c r="BJ430" i="5"/>
  <c r="BK430" i="5"/>
  <c r="AQ267" i="5"/>
  <c r="BI267" i="5"/>
  <c r="AR267" i="5"/>
  <c r="BK128" i="5"/>
  <c r="AQ72" i="4"/>
  <c r="AP72" i="4"/>
  <c r="AC72" i="4"/>
  <c r="AD72" i="4" s="1"/>
  <c r="AN49" i="4"/>
  <c r="AF49" i="4"/>
  <c r="AG49" i="4" s="1"/>
  <c r="AI49" i="4" s="1"/>
  <c r="AQ71" i="4"/>
  <c r="AP71" i="4"/>
  <c r="AC71" i="4"/>
  <c r="AD71" i="4" s="1"/>
  <c r="BJ513" i="5"/>
  <c r="BK513" i="5"/>
  <c r="AR77" i="5"/>
  <c r="AQ77" i="5"/>
  <c r="BI77" i="5"/>
  <c r="BK55" i="5"/>
  <c r="BJ55" i="5"/>
  <c r="BK467" i="5"/>
  <c r="BJ467" i="5"/>
  <c r="BK401" i="5"/>
  <c r="BJ401" i="5"/>
  <c r="BK123" i="5"/>
  <c r="BJ123" i="5"/>
  <c r="BK520" i="5"/>
  <c r="BJ520" i="5"/>
  <c r="AR416" i="5"/>
  <c r="BI416" i="5"/>
  <c r="AQ416" i="5"/>
  <c r="BJ215" i="5"/>
  <c r="BK215" i="5"/>
  <c r="BK482" i="5"/>
  <c r="BJ482" i="5"/>
  <c r="BJ559" i="5"/>
  <c r="BK559" i="5"/>
  <c r="AN146" i="4"/>
  <c r="AK146" i="4"/>
  <c r="AL146" i="4" s="1"/>
  <c r="AF146" i="4"/>
  <c r="AG146" i="4" s="1"/>
  <c r="AI146" i="4" s="1"/>
  <c r="AP68" i="4"/>
  <c r="AC68" i="4"/>
  <c r="AD68" i="4" s="1"/>
  <c r="AQ68" i="4"/>
  <c r="AN20" i="4"/>
  <c r="AF20" i="4"/>
  <c r="AG20" i="4" s="1"/>
  <c r="AI20" i="4" s="1"/>
  <c r="AK20" i="4"/>
  <c r="AL20" i="4" s="1"/>
  <c r="AN88" i="4"/>
  <c r="AK88" i="4"/>
  <c r="AL88" i="4" s="1"/>
  <c r="AF88" i="4"/>
  <c r="AG88" i="4" s="1"/>
  <c r="AI88" i="4" s="1"/>
  <c r="AQ70" i="4"/>
  <c r="AP70" i="4"/>
  <c r="AC70" i="4"/>
  <c r="AD70" i="4" s="1"/>
  <c r="AQ150" i="4"/>
  <c r="AP150" i="4"/>
  <c r="AC150" i="4"/>
  <c r="AD150" i="4" s="1"/>
  <c r="BK309" i="5"/>
  <c r="BJ309" i="5"/>
  <c r="BJ438" i="5"/>
  <c r="BK438" i="5"/>
  <c r="BK36" i="5"/>
  <c r="BJ36" i="5"/>
  <c r="BJ46" i="5"/>
  <c r="BK46" i="5"/>
  <c r="BK453" i="5"/>
  <c r="BJ453" i="5"/>
  <c r="BK236" i="5"/>
  <c r="BJ236" i="5"/>
  <c r="BJ369" i="5"/>
  <c r="BK369" i="5"/>
  <c r="BK204" i="5"/>
  <c r="BJ204" i="5"/>
  <c r="BJ470" i="5"/>
  <c r="BK470" i="5"/>
  <c r="BK81" i="5"/>
  <c r="BJ81" i="5"/>
  <c r="BK407" i="5"/>
  <c r="BJ407" i="5"/>
  <c r="AR84" i="5"/>
  <c r="BI84" i="5"/>
  <c r="AQ84" i="5"/>
  <c r="BJ49" i="5"/>
  <c r="BK49" i="5"/>
  <c r="R179" i="5"/>
  <c r="S179" i="5"/>
  <c r="S35" i="5"/>
  <c r="R35" i="5"/>
  <c r="S550" i="5"/>
  <c r="R550" i="5"/>
  <c r="R375" i="5"/>
  <c r="S375" i="5"/>
  <c r="S264" i="5"/>
  <c r="R264" i="5"/>
  <c r="S265" i="5"/>
  <c r="R265" i="5"/>
  <c r="R323" i="5"/>
  <c r="S323" i="5"/>
  <c r="R369" i="5"/>
  <c r="S369" i="5"/>
  <c r="S373" i="5"/>
  <c r="R373" i="5"/>
  <c r="S109" i="5"/>
  <c r="R109" i="5"/>
  <c r="S56" i="5"/>
  <c r="R56" i="5"/>
  <c r="S141" i="5"/>
  <c r="R141" i="5"/>
  <c r="S80" i="5"/>
  <c r="R80" i="5"/>
  <c r="R121" i="5"/>
  <c r="S121" i="5"/>
  <c r="R25" i="5"/>
  <c r="S25" i="5"/>
  <c r="R36" i="5"/>
  <c r="S36" i="5"/>
  <c r="R47" i="5"/>
  <c r="S47" i="5"/>
  <c r="R102" i="5"/>
  <c r="S102" i="5"/>
  <c r="R299" i="5"/>
  <c r="S299" i="5"/>
  <c r="S520" i="5"/>
  <c r="R520" i="5"/>
  <c r="R507" i="5"/>
  <c r="S507" i="5"/>
  <c r="R234" i="5"/>
  <c r="S234" i="5"/>
  <c r="R57" i="5"/>
  <c r="S57" i="5"/>
  <c r="R413" i="5"/>
  <c r="S413" i="5"/>
  <c r="S181" i="5"/>
  <c r="R181" i="5"/>
  <c r="R398" i="5"/>
  <c r="S398" i="5"/>
  <c r="R138" i="5"/>
  <c r="S138" i="5"/>
  <c r="R559" i="5"/>
  <c r="S559" i="5"/>
  <c r="R21" i="5"/>
  <c r="S21" i="5"/>
  <c r="R98" i="5"/>
  <c r="S98" i="5"/>
  <c r="S425" i="5"/>
  <c r="R425" i="5"/>
  <c r="S544" i="5"/>
  <c r="R544" i="5"/>
  <c r="S560" i="5"/>
  <c r="R560" i="5"/>
  <c r="S145" i="5"/>
  <c r="R145" i="5"/>
  <c r="R335" i="5"/>
  <c r="S335" i="5"/>
  <c r="R280" i="5"/>
  <c r="S280" i="5"/>
  <c r="S22" i="5"/>
  <c r="R22" i="5"/>
  <c r="R510" i="5"/>
  <c r="S510" i="5"/>
  <c r="R355" i="5"/>
  <c r="S355" i="5"/>
  <c r="S271" i="5"/>
  <c r="R271" i="5"/>
  <c r="R127" i="5"/>
  <c r="S127" i="5"/>
  <c r="S152" i="5"/>
  <c r="R152" i="5"/>
  <c r="R313" i="5"/>
  <c r="S313" i="5"/>
  <c r="R521" i="5"/>
  <c r="S521" i="5"/>
  <c r="R490" i="5"/>
  <c r="S490" i="5"/>
  <c r="R450" i="5"/>
  <c r="S450" i="5"/>
  <c r="R532" i="5"/>
  <c r="S532" i="5"/>
  <c r="S268" i="5"/>
  <c r="R268" i="5"/>
  <c r="S276" i="5"/>
  <c r="R276" i="5"/>
  <c r="R337" i="5"/>
  <c r="S337" i="5"/>
  <c r="R468" i="5"/>
  <c r="S468" i="5"/>
  <c r="S426" i="5"/>
  <c r="R426" i="5"/>
  <c r="R475" i="5"/>
  <c r="S475" i="5"/>
  <c r="S174" i="5"/>
  <c r="R174" i="5"/>
  <c r="S482" i="5"/>
  <c r="R482" i="5"/>
  <c r="S76" i="5"/>
  <c r="R76" i="5"/>
  <c r="S445" i="5"/>
  <c r="R445" i="5"/>
  <c r="R115" i="5"/>
  <c r="S115" i="5"/>
  <c r="R341" i="5"/>
  <c r="S341" i="5"/>
  <c r="S374" i="5"/>
  <c r="R374" i="5"/>
  <c r="S290" i="5"/>
  <c r="R290" i="5"/>
  <c r="S487" i="5"/>
  <c r="R487" i="5"/>
  <c r="S247" i="5"/>
  <c r="R247" i="5"/>
  <c r="S558" i="5"/>
  <c r="R558" i="5"/>
  <c r="S345" i="5"/>
  <c r="R345" i="5"/>
  <c r="R330" i="5"/>
  <c r="S330" i="5"/>
  <c r="R371" i="5"/>
  <c r="S371" i="5"/>
  <c r="S75" i="5"/>
  <c r="R75" i="5"/>
  <c r="R483" i="5"/>
  <c r="S483" i="5"/>
  <c r="R523" i="5"/>
  <c r="S523" i="5"/>
  <c r="R474" i="5"/>
  <c r="S474" i="5"/>
  <c r="R229" i="5"/>
  <c r="S229" i="5"/>
  <c r="R549" i="5"/>
  <c r="S549" i="5"/>
  <c r="S479" i="5"/>
  <c r="R479" i="5"/>
  <c r="S372" i="5"/>
  <c r="R372" i="5"/>
  <c r="R95" i="5"/>
  <c r="S95" i="5"/>
  <c r="R255" i="5"/>
  <c r="S255" i="5"/>
  <c r="R384" i="5"/>
  <c r="S384" i="5"/>
  <c r="R155" i="5"/>
  <c r="S155" i="5"/>
  <c r="S496" i="5"/>
  <c r="R496" i="5"/>
  <c r="R278" i="5"/>
  <c r="S278" i="5"/>
  <c r="R368" i="5"/>
  <c r="S368" i="5"/>
  <c r="S40" i="5"/>
  <c r="R40" i="5"/>
  <c r="S453" i="5"/>
  <c r="R453" i="5"/>
  <c r="S44" i="5"/>
  <c r="R44" i="5"/>
  <c r="R309" i="5"/>
  <c r="S309" i="5"/>
  <c r="S334" i="5"/>
  <c r="R334" i="5"/>
  <c r="R202" i="5"/>
  <c r="S202" i="5"/>
  <c r="S61" i="5"/>
  <c r="R61" i="5"/>
  <c r="R46" i="5"/>
  <c r="S46" i="5"/>
  <c r="S396" i="5"/>
  <c r="R396" i="5"/>
  <c r="S157" i="5"/>
  <c r="R157" i="5"/>
  <c r="R480" i="5"/>
  <c r="S480" i="5"/>
  <c r="S279" i="5"/>
  <c r="R279" i="5"/>
  <c r="R351" i="5"/>
  <c r="S351" i="5"/>
  <c r="R64" i="5"/>
  <c r="S64" i="5"/>
  <c r="R505" i="5"/>
  <c r="S505" i="5"/>
  <c r="S515" i="5"/>
  <c r="R515" i="5"/>
  <c r="S29" i="5"/>
  <c r="R29" i="5"/>
  <c r="R266" i="5"/>
  <c r="S266" i="5"/>
  <c r="R530" i="5"/>
  <c r="S530" i="5"/>
  <c r="S333" i="5"/>
  <c r="R333" i="5"/>
  <c r="S538" i="5"/>
  <c r="R538" i="5"/>
  <c r="R359" i="5"/>
  <c r="S359" i="5"/>
  <c r="S39" i="5"/>
  <c r="R39" i="5"/>
  <c r="R110" i="5"/>
  <c r="S110" i="5"/>
  <c r="S356" i="5"/>
  <c r="R356" i="5"/>
  <c r="S99" i="5"/>
  <c r="R99" i="5"/>
  <c r="R301" i="5"/>
  <c r="S301" i="5"/>
  <c r="S212" i="5"/>
  <c r="R212" i="5"/>
  <c r="S273" i="5"/>
  <c r="R273" i="5"/>
  <c r="R238" i="5"/>
  <c r="S238" i="5"/>
  <c r="R246" i="5"/>
  <c r="S246" i="5"/>
  <c r="R283" i="5"/>
  <c r="S283" i="5"/>
  <c r="R24" i="5"/>
  <c r="S24" i="5"/>
  <c r="R390" i="5"/>
  <c r="S390" i="5"/>
  <c r="S113" i="5"/>
  <c r="R113" i="5"/>
  <c r="R12" i="5"/>
  <c r="S12" i="5"/>
  <c r="R466" i="5"/>
  <c r="S466" i="5"/>
  <c r="R156" i="5"/>
  <c r="S156" i="5"/>
  <c r="S81" i="5"/>
  <c r="R81" i="5"/>
  <c r="S363" i="5"/>
  <c r="R363" i="5"/>
  <c r="S452" i="5"/>
  <c r="R452" i="5"/>
  <c r="S451" i="5"/>
  <c r="R451" i="5"/>
  <c r="S244" i="5"/>
  <c r="R244" i="5"/>
  <c r="R134" i="5"/>
  <c r="S134" i="5"/>
  <c r="S386" i="5"/>
  <c r="R386" i="5"/>
  <c r="S442" i="5"/>
  <c r="R442" i="5"/>
  <c r="R281" i="5"/>
  <c r="S281" i="5"/>
  <c r="R233" i="5"/>
  <c r="S233" i="5"/>
  <c r="R488" i="5"/>
  <c r="S488" i="5"/>
  <c r="R131" i="5"/>
  <c r="S131" i="5"/>
  <c r="R292" i="5"/>
  <c r="S292" i="5"/>
  <c r="S45" i="5"/>
  <c r="R45" i="5"/>
  <c r="R402" i="5"/>
  <c r="S402" i="5"/>
  <c r="R464" i="5"/>
  <c r="S464" i="5"/>
  <c r="R154" i="5"/>
  <c r="S154" i="5"/>
  <c r="AK99" i="4"/>
  <c r="AL99" i="4" s="1"/>
  <c r="AF99" i="4"/>
  <c r="AG99" i="4" s="1"/>
  <c r="AI99" i="4" s="1"/>
  <c r="AN99" i="4"/>
  <c r="AP91" i="4"/>
  <c r="AQ91" i="4"/>
  <c r="AC91" i="4"/>
  <c r="AD91" i="4" s="1"/>
  <c r="AK48" i="4"/>
  <c r="AL48" i="4" s="1"/>
  <c r="AN48" i="4"/>
  <c r="AF48" i="4"/>
  <c r="AG48" i="4" s="1"/>
  <c r="AI48" i="4" s="1"/>
  <c r="AC129" i="5"/>
  <c r="AC249" i="5"/>
  <c r="AC167" i="5"/>
  <c r="AC170" i="5"/>
  <c r="AC527" i="5"/>
  <c r="AC315" i="5"/>
  <c r="AN147" i="4"/>
  <c r="AK147" i="4"/>
  <c r="AL147" i="4" s="1"/>
  <c r="AF147" i="4"/>
  <c r="AG147" i="4" s="1"/>
  <c r="AI147" i="4" s="1"/>
  <c r="BK395" i="5"/>
  <c r="BJ395" i="5"/>
  <c r="BK29" i="5"/>
  <c r="BJ29" i="5"/>
  <c r="BJ139" i="5"/>
  <c r="BK139" i="5"/>
  <c r="BK172" i="5"/>
  <c r="BJ172" i="5"/>
  <c r="BJ550" i="5"/>
  <c r="BK550" i="5"/>
  <c r="AP107" i="4"/>
  <c r="AQ107" i="4"/>
  <c r="AC107" i="4"/>
  <c r="AD107" i="4" s="1"/>
  <c r="AN132" i="4"/>
  <c r="AK132" i="4"/>
  <c r="AL132" i="4" s="1"/>
  <c r="AF132" i="4"/>
  <c r="AG132" i="4" s="1"/>
  <c r="AI132" i="4" s="1"/>
  <c r="AQ17" i="4"/>
  <c r="AC17" i="4"/>
  <c r="AD17" i="4" s="1"/>
  <c r="AP17" i="4"/>
  <c r="AK52" i="4"/>
  <c r="AL52" i="4" s="1"/>
  <c r="AN52" i="4"/>
  <c r="AF52" i="4"/>
  <c r="AG52" i="4" s="1"/>
  <c r="AI52" i="4" s="1"/>
  <c r="AF22" i="4"/>
  <c r="AG22" i="4" s="1"/>
  <c r="AI22" i="4" s="1"/>
  <c r="AK22" i="4"/>
  <c r="AL22" i="4" s="1"/>
  <c r="AN22" i="4"/>
  <c r="AK38" i="4"/>
  <c r="AL38" i="4" s="1"/>
  <c r="AN38" i="4"/>
  <c r="AF38" i="4"/>
  <c r="AG38" i="4" s="1"/>
  <c r="AI38" i="4" s="1"/>
  <c r="AR497" i="5"/>
  <c r="BI497" i="5"/>
  <c r="AQ497" i="5"/>
  <c r="AQ33" i="5"/>
  <c r="BI33" i="5"/>
  <c r="AR33" i="5"/>
  <c r="BK370" i="5"/>
  <c r="BJ370" i="5"/>
  <c r="AK72" i="4"/>
  <c r="AL72" i="4" s="1"/>
  <c r="AN72" i="4"/>
  <c r="AF72" i="4"/>
  <c r="AG72" i="4" s="1"/>
  <c r="AI72" i="4" s="1"/>
  <c r="AF14" i="4"/>
  <c r="AG14" i="4" s="1"/>
  <c r="AI14" i="4" s="1"/>
  <c r="AK14" i="4"/>
  <c r="AL14" i="4" s="1"/>
  <c r="AN14" i="4"/>
  <c r="AN23" i="4"/>
  <c r="AK23" i="4"/>
  <c r="AL23" i="4" s="1"/>
  <c r="AF23" i="4"/>
  <c r="AG23" i="4" s="1"/>
  <c r="AI23" i="4" s="1"/>
  <c r="AK153" i="4"/>
  <c r="AL153" i="4" s="1"/>
  <c r="AN153" i="4"/>
  <c r="AF153" i="4"/>
  <c r="AG153" i="4" s="1"/>
  <c r="AI153" i="4" s="1"/>
  <c r="AN26" i="4"/>
  <c r="AF26" i="4"/>
  <c r="AG26" i="4" s="1"/>
  <c r="AI26" i="4" s="1"/>
  <c r="AK157" i="4"/>
  <c r="AL157" i="4" s="1"/>
  <c r="AF157" i="4"/>
  <c r="AG157" i="4" s="1"/>
  <c r="AI157" i="4" s="1"/>
  <c r="BK517" i="5"/>
  <c r="BJ517" i="5"/>
  <c r="BK364" i="5"/>
  <c r="BJ364" i="5"/>
  <c r="BJ138" i="5"/>
  <c r="BK138" i="5"/>
  <c r="BK435" i="5"/>
  <c r="BJ435" i="5"/>
  <c r="BK319" i="5"/>
  <c r="BJ319" i="5"/>
  <c r="BJ48" i="5"/>
  <c r="BK48" i="5"/>
  <c r="BJ558" i="5"/>
  <c r="BK558" i="5"/>
  <c r="AQ209" i="5"/>
  <c r="AR209" i="5"/>
  <c r="BI209" i="5"/>
  <c r="AR13" i="5"/>
  <c r="BI13" i="5"/>
  <c r="AQ13" i="5"/>
  <c r="BK491" i="5"/>
  <c r="BJ491" i="5"/>
  <c r="BK262" i="5"/>
  <c r="BJ262" i="5"/>
  <c r="BK165" i="5"/>
  <c r="BJ165" i="5"/>
  <c r="BJ541" i="5"/>
  <c r="BK541" i="5"/>
  <c r="BJ509" i="5"/>
  <c r="BK509" i="5"/>
  <c r="BK379" i="5"/>
  <c r="BJ379" i="5"/>
  <c r="BJ420" i="5"/>
  <c r="BK420" i="5"/>
  <c r="AN34" i="4"/>
  <c r="AK34" i="4"/>
  <c r="AL34" i="4" s="1"/>
  <c r="AF34" i="4"/>
  <c r="AG34" i="4" s="1"/>
  <c r="AI34" i="4" s="1"/>
  <c r="AQ88" i="4"/>
  <c r="AP88" i="4"/>
  <c r="AC88" i="4"/>
  <c r="AD88" i="4" s="1"/>
  <c r="AN150" i="4"/>
  <c r="AK150" i="4"/>
  <c r="AL150" i="4" s="1"/>
  <c r="AF150" i="4"/>
  <c r="AG150" i="4" s="1"/>
  <c r="AI150" i="4" s="1"/>
  <c r="BJ345" i="5"/>
  <c r="BK345" i="5"/>
  <c r="BK242" i="5"/>
  <c r="BJ242" i="5"/>
  <c r="BI73" i="5"/>
  <c r="AQ73" i="5"/>
  <c r="AR73" i="5"/>
  <c r="BK547" i="5"/>
  <c r="BJ547" i="5"/>
  <c r="BK283" i="5"/>
  <c r="BJ283" i="5"/>
  <c r="AR151" i="5"/>
  <c r="BI151" i="5"/>
  <c r="AQ151" i="5"/>
  <c r="BJ114" i="5"/>
  <c r="BK114" i="5"/>
  <c r="AQ219" i="5"/>
  <c r="BI219" i="5"/>
  <c r="AR219" i="5"/>
  <c r="BK373" i="5"/>
  <c r="BJ373" i="5"/>
  <c r="BJ530" i="5"/>
  <c r="BK530" i="5"/>
  <c r="BJ149" i="5"/>
  <c r="BK149" i="5"/>
  <c r="S311" i="5"/>
  <c r="R311" i="5"/>
  <c r="R183" i="5"/>
  <c r="S183" i="5"/>
  <c r="R13" i="5"/>
  <c r="S13" i="5"/>
  <c r="S302" i="5"/>
  <c r="R302" i="5"/>
  <c r="S242" i="5"/>
  <c r="R242" i="5"/>
  <c r="R367" i="5"/>
  <c r="S367" i="5"/>
  <c r="R118" i="5"/>
  <c r="S118" i="5"/>
  <c r="R423" i="5"/>
  <c r="S423" i="5"/>
  <c r="R256" i="5"/>
  <c r="S256" i="5"/>
  <c r="S182" i="5"/>
  <c r="R182" i="5"/>
  <c r="R555" i="5"/>
  <c r="S555" i="5"/>
  <c r="R394" i="5"/>
  <c r="S394" i="5"/>
  <c r="R331" i="5"/>
  <c r="S331" i="5"/>
  <c r="R267" i="5"/>
  <c r="S267" i="5"/>
  <c r="S557" i="5"/>
  <c r="R557" i="5"/>
  <c r="S105" i="5"/>
  <c r="R105" i="5"/>
  <c r="S512" i="5"/>
  <c r="R512" i="5"/>
  <c r="S357" i="5"/>
  <c r="R357" i="5"/>
  <c r="R435" i="5"/>
  <c r="S435" i="5"/>
  <c r="R209" i="5"/>
  <c r="S209" i="5"/>
  <c r="R201" i="5"/>
  <c r="S201" i="5"/>
  <c r="R441" i="5"/>
  <c r="S441" i="5"/>
  <c r="R415" i="5"/>
  <c r="S415" i="5"/>
  <c r="S68" i="5"/>
  <c r="R68" i="5"/>
  <c r="R514" i="5"/>
  <c r="S514" i="5"/>
  <c r="S225" i="5"/>
  <c r="R225" i="5"/>
  <c r="S190" i="5"/>
  <c r="R190" i="5"/>
  <c r="S537" i="5"/>
  <c r="R537" i="5"/>
  <c r="R500" i="5"/>
  <c r="S500" i="5"/>
  <c r="S319" i="5"/>
  <c r="R319" i="5"/>
  <c r="R193" i="5"/>
  <c r="S193" i="5"/>
  <c r="R295" i="5"/>
  <c r="S295" i="5"/>
  <c r="S142" i="5"/>
  <c r="R142" i="5"/>
  <c r="S169" i="5"/>
  <c r="R169" i="5"/>
  <c r="S516" i="5"/>
  <c r="R516" i="5"/>
  <c r="S457" i="5"/>
  <c r="R457" i="5"/>
  <c r="S481" i="5"/>
  <c r="R481" i="5"/>
  <c r="R221" i="5"/>
  <c r="S221" i="5"/>
  <c r="S227" i="5"/>
  <c r="R227" i="5"/>
  <c r="S439" i="5"/>
  <c r="R439" i="5"/>
  <c r="S395" i="5"/>
  <c r="R395" i="5"/>
  <c r="R148" i="5"/>
  <c r="S148" i="5"/>
  <c r="S90" i="5"/>
  <c r="R90" i="5"/>
  <c r="R447" i="5"/>
  <c r="S447" i="5"/>
  <c r="S360" i="5"/>
  <c r="R360" i="5"/>
  <c r="S526" i="5"/>
  <c r="R526" i="5"/>
  <c r="S407" i="5"/>
  <c r="R407" i="5"/>
  <c r="R405" i="5"/>
  <c r="S405" i="5"/>
  <c r="R42" i="5"/>
  <c r="S42" i="5"/>
  <c r="S436" i="5"/>
  <c r="R436" i="5"/>
  <c r="R186" i="5"/>
  <c r="S186" i="5"/>
  <c r="S165" i="5"/>
  <c r="R165" i="5"/>
  <c r="S294" i="5"/>
  <c r="R294" i="5"/>
  <c r="S170" i="5"/>
  <c r="R170" i="5"/>
  <c r="R284" i="5"/>
  <c r="S284" i="5"/>
  <c r="S30" i="5"/>
  <c r="R30" i="5"/>
  <c r="S551" i="5"/>
  <c r="R551" i="5"/>
  <c r="S449" i="5"/>
  <c r="R449" i="5"/>
  <c r="R485" i="5"/>
  <c r="S485" i="5"/>
  <c r="S54" i="5"/>
  <c r="R54" i="5"/>
  <c r="S92" i="5"/>
  <c r="R92" i="5"/>
  <c r="R365" i="5"/>
  <c r="S365" i="5"/>
  <c r="R208" i="5"/>
  <c r="S208" i="5"/>
  <c r="S43" i="5"/>
  <c r="R43" i="5"/>
  <c r="S139" i="5"/>
  <c r="R139" i="5"/>
  <c r="R524" i="5"/>
  <c r="S524" i="5"/>
  <c r="S275" i="5"/>
  <c r="R275" i="5"/>
  <c r="R245" i="5"/>
  <c r="S245" i="5"/>
  <c r="R470" i="5"/>
  <c r="S470" i="5"/>
  <c r="S554" i="5"/>
  <c r="R554" i="5"/>
  <c r="R136" i="5"/>
  <c r="S136" i="5"/>
  <c r="S236" i="5"/>
  <c r="R236" i="5"/>
  <c r="S397" i="5"/>
  <c r="R397" i="5"/>
  <c r="R277" i="5"/>
  <c r="S277" i="5"/>
  <c r="S167" i="5"/>
  <c r="R167" i="5"/>
  <c r="S332" i="5"/>
  <c r="R332" i="5"/>
  <c r="R347" i="5"/>
  <c r="S347" i="5"/>
  <c r="R176" i="5"/>
  <c r="S176" i="5"/>
  <c r="R291" i="5"/>
  <c r="S291" i="5"/>
  <c r="R159" i="5"/>
  <c r="S159" i="5"/>
  <c r="S185" i="5"/>
  <c r="R185" i="5"/>
  <c r="S263" i="5"/>
  <c r="R263" i="5"/>
  <c r="S88" i="5"/>
  <c r="R88" i="5"/>
  <c r="R499" i="5"/>
  <c r="S499" i="5"/>
  <c r="S28" i="5"/>
  <c r="R28" i="5"/>
  <c r="S219" i="5"/>
  <c r="R219" i="5"/>
  <c r="S300" i="5"/>
  <c r="R300" i="5"/>
  <c r="R288" i="5"/>
  <c r="S288" i="5"/>
  <c r="S344" i="5"/>
  <c r="R344" i="5"/>
  <c r="R78" i="5"/>
  <c r="S78" i="5"/>
  <c r="S8" i="5"/>
  <c r="R8" i="5"/>
  <c r="S541" i="5"/>
  <c r="R541" i="5"/>
  <c r="R387" i="5"/>
  <c r="S387" i="5"/>
  <c r="S428" i="5"/>
  <c r="R428" i="5"/>
  <c r="S543" i="5"/>
  <c r="R543" i="5"/>
  <c r="R114" i="5"/>
  <c r="S114" i="5"/>
  <c r="S382" i="5"/>
  <c r="R382" i="5"/>
  <c r="S438" i="5"/>
  <c r="R438" i="5"/>
  <c r="S518" i="5"/>
  <c r="R518" i="5"/>
  <c r="S293" i="5"/>
  <c r="R293" i="5"/>
  <c r="S326" i="5"/>
  <c r="R326" i="5"/>
  <c r="S463" i="5"/>
  <c r="R463" i="5"/>
  <c r="R207" i="5"/>
  <c r="S207" i="5"/>
  <c r="R336" i="5"/>
  <c r="S336" i="5"/>
  <c r="R132" i="5"/>
  <c r="S132" i="5"/>
  <c r="R62" i="5"/>
  <c r="S62" i="5"/>
  <c r="S321" i="5"/>
  <c r="R321" i="5"/>
  <c r="R327" i="5"/>
  <c r="S327" i="5"/>
  <c r="S215" i="5"/>
  <c r="R215" i="5"/>
  <c r="R272" i="5"/>
  <c r="S272" i="5"/>
  <c r="R96" i="5"/>
  <c r="S96" i="5"/>
  <c r="S513" i="5"/>
  <c r="R513" i="5"/>
  <c r="S217" i="5"/>
  <c r="R217" i="5"/>
  <c r="R161" i="5"/>
  <c r="S161" i="5"/>
  <c r="R547" i="5"/>
  <c r="S547" i="5"/>
  <c r="S322" i="5"/>
  <c r="R322" i="5"/>
  <c r="S70" i="5"/>
  <c r="R70" i="5"/>
  <c r="R89" i="5"/>
  <c r="S89" i="5"/>
  <c r="R458" i="5"/>
  <c r="S458" i="5"/>
  <c r="R317" i="5"/>
  <c r="S317" i="5"/>
  <c r="S286" i="5"/>
  <c r="R286" i="5"/>
  <c r="R173" i="5"/>
  <c r="S173" i="5"/>
  <c r="R517" i="5"/>
  <c r="S517" i="5"/>
  <c r="S117" i="5"/>
  <c r="R117" i="5"/>
  <c r="S33" i="5"/>
  <c r="R33" i="5"/>
  <c r="R534" i="5"/>
  <c r="S534" i="5"/>
  <c r="R194" i="5"/>
  <c r="S194" i="5"/>
  <c r="R285" i="5"/>
  <c r="S285" i="5"/>
  <c r="S214" i="5"/>
  <c r="R214" i="5"/>
  <c r="R455" i="5"/>
  <c r="S455" i="5"/>
  <c r="S79" i="5"/>
  <c r="R79" i="5"/>
  <c r="S339" i="5"/>
  <c r="R339" i="5"/>
  <c r="S325" i="5"/>
  <c r="R325" i="5"/>
  <c r="S404" i="5"/>
  <c r="R404" i="5"/>
  <c r="S424" i="5"/>
  <c r="R424" i="5"/>
  <c r="R385" i="5"/>
  <c r="S385" i="5"/>
  <c r="R53" i="5"/>
  <c r="S53" i="5"/>
  <c r="AN24" i="4"/>
  <c r="AF24" i="4"/>
  <c r="AG24" i="4" s="1"/>
  <c r="AI24" i="4" s="1"/>
  <c r="AK24" i="4"/>
  <c r="AL24" i="4" s="1"/>
  <c r="AN50" i="4"/>
  <c r="AF50" i="4"/>
  <c r="AG50" i="4" s="1"/>
  <c r="AI50" i="4" s="1"/>
  <c r="AC248" i="5"/>
  <c r="AC235" i="5"/>
  <c r="AC218" i="5"/>
  <c r="AC525" i="5"/>
  <c r="AC304" i="5"/>
  <c r="AC494" i="5"/>
  <c r="AN8" i="4"/>
  <c r="AK8" i="4"/>
  <c r="AL8" i="4" s="1"/>
  <c r="AF8" i="4"/>
  <c r="AG8" i="4" s="1"/>
  <c r="AI8" i="4" s="1"/>
  <c r="AN15" i="4"/>
  <c r="AF15" i="4"/>
  <c r="AG15" i="4" s="1"/>
  <c r="AI15" i="4" s="1"/>
  <c r="AK15" i="4"/>
  <c r="AL15" i="4" s="1"/>
  <c r="AQ524" i="5"/>
  <c r="AR524" i="5"/>
  <c r="BI524" i="5"/>
  <c r="BK131" i="5"/>
  <c r="BJ131" i="5"/>
  <c r="BK30" i="5"/>
  <c r="BJ30" i="5"/>
  <c r="AK115" i="4"/>
  <c r="AL115" i="4" s="1"/>
  <c r="AN115" i="4"/>
  <c r="AF115" i="4"/>
  <c r="AG115" i="4" s="1"/>
  <c r="AI115" i="4" s="1"/>
  <c r="AN21" i="4"/>
  <c r="AK21" i="4"/>
  <c r="AL21" i="4" s="1"/>
  <c r="AF21" i="4"/>
  <c r="AG21" i="4" s="1"/>
  <c r="AI21" i="4" s="1"/>
  <c r="AR452" i="5"/>
  <c r="BI452" i="5"/>
  <c r="AQ452" i="5"/>
  <c r="BK440" i="5"/>
  <c r="BJ440" i="5"/>
  <c r="BK98" i="5"/>
  <c r="BJ98" i="5"/>
  <c r="BK189" i="5"/>
  <c r="BJ189" i="5"/>
  <c r="BJ234" i="5"/>
  <c r="BK234" i="5"/>
  <c r="AN32" i="4"/>
  <c r="AF32" i="4"/>
  <c r="AG32" i="4" s="1"/>
  <c r="AI32" i="4" s="1"/>
  <c r="AN42" i="4"/>
  <c r="AF42" i="4"/>
  <c r="AG42" i="4" s="1"/>
  <c r="AI42" i="4" s="1"/>
  <c r="AP153" i="4"/>
  <c r="AQ153" i="4"/>
  <c r="AC153" i="4"/>
  <c r="AD153" i="4" s="1"/>
  <c r="AQ157" i="4"/>
  <c r="AP157" i="4"/>
  <c r="AC157" i="4"/>
  <c r="AD157" i="4" s="1"/>
  <c r="AN71" i="4"/>
  <c r="AK71" i="4"/>
  <c r="AL71" i="4" s="1"/>
  <c r="AF71" i="4"/>
  <c r="AG71" i="4" s="1"/>
  <c r="AI71" i="4" s="1"/>
  <c r="BK305" i="5"/>
  <c r="BJ305" i="5"/>
  <c r="BK112" i="5"/>
  <c r="BJ112" i="5"/>
  <c r="BJ415" i="5"/>
  <c r="BK415" i="5"/>
  <c r="BJ334" i="5"/>
  <c r="BK334" i="5"/>
  <c r="BJ385" i="5"/>
  <c r="BK385" i="5"/>
  <c r="BK323" i="5"/>
  <c r="BJ323" i="5"/>
  <c r="BJ161" i="5"/>
  <c r="BK161" i="5"/>
  <c r="BJ222" i="5"/>
  <c r="BK222" i="5"/>
  <c r="BK160" i="5"/>
  <c r="BJ160" i="5"/>
  <c r="BJ479" i="5"/>
  <c r="BK479" i="5"/>
  <c r="BK239" i="5"/>
  <c r="BJ239" i="5"/>
  <c r="BJ553" i="5"/>
  <c r="BK553" i="5"/>
  <c r="AQ54" i="5"/>
  <c r="BI54" i="5"/>
  <c r="AR54" i="5"/>
  <c r="BK271" i="5"/>
  <c r="BJ271" i="5"/>
  <c r="BJ174" i="5"/>
  <c r="BK174" i="5"/>
  <c r="AK41" i="4"/>
  <c r="AL41" i="4" s="1"/>
  <c r="AN41" i="4"/>
  <c r="AF41" i="4"/>
  <c r="AG41" i="4" s="1"/>
  <c r="AI41" i="4" s="1"/>
  <c r="AN39" i="4"/>
  <c r="AK39" i="4"/>
  <c r="AL39" i="4" s="1"/>
  <c r="AF39" i="4"/>
  <c r="AG39" i="4" s="1"/>
  <c r="AI39" i="4" s="1"/>
  <c r="AQ119" i="4"/>
  <c r="AP119" i="4"/>
  <c r="AC119" i="4"/>
  <c r="AD119" i="4" s="1"/>
  <c r="BJ206" i="5"/>
  <c r="BK206" i="5"/>
  <c r="BJ169" i="5"/>
  <c r="BK169" i="5"/>
  <c r="AQ372" i="5"/>
  <c r="AR372" i="5"/>
  <c r="BI372" i="5"/>
  <c r="BK207" i="5"/>
  <c r="BJ207" i="5"/>
  <c r="BJ175" i="5"/>
  <c r="BK175" i="5"/>
  <c r="BK384" i="5"/>
  <c r="BJ384" i="5"/>
  <c r="BK121" i="5"/>
  <c r="BJ121" i="5"/>
  <c r="BJ103" i="5"/>
  <c r="BK103" i="5"/>
  <c r="BJ409" i="5"/>
  <c r="BK409" i="5"/>
  <c r="BK220" i="5"/>
  <c r="BJ220" i="5"/>
  <c r="BI485" i="5"/>
  <c r="AR485" i="5"/>
  <c r="AQ485" i="5"/>
  <c r="BJ383" i="5"/>
  <c r="BK383" i="5"/>
  <c r="BK306" i="5"/>
  <c r="BJ306" i="5"/>
  <c r="BK289" i="5"/>
  <c r="BJ289" i="5"/>
  <c r="BK113" i="5"/>
  <c r="BJ113" i="5"/>
  <c r="S63" i="5"/>
  <c r="R63" i="5"/>
  <c r="S282" i="5"/>
  <c r="R282" i="5"/>
  <c r="S522" i="5"/>
  <c r="R522" i="5"/>
  <c r="S318" i="5"/>
  <c r="R318" i="5"/>
  <c r="R303" i="5"/>
  <c r="S303" i="5"/>
  <c r="S443" i="5"/>
  <c r="R443" i="5"/>
  <c r="S210" i="5"/>
  <c r="R210" i="5"/>
  <c r="R509" i="5"/>
  <c r="S509" i="5"/>
  <c r="S298" i="5"/>
  <c r="R298" i="5"/>
  <c r="S497" i="5"/>
  <c r="R497" i="5"/>
  <c r="S191" i="5"/>
  <c r="R191" i="5"/>
  <c r="S91" i="5"/>
  <c r="R91" i="5"/>
  <c r="R237" i="5"/>
  <c r="S237" i="5"/>
  <c r="R93" i="5"/>
  <c r="S93" i="5"/>
  <c r="S527" i="5"/>
  <c r="R527" i="5"/>
  <c r="S60" i="5"/>
  <c r="R60" i="5"/>
  <c r="R180" i="5"/>
  <c r="S180" i="5"/>
  <c r="S116" i="5"/>
  <c r="R116" i="5"/>
  <c r="S249" i="5"/>
  <c r="R249" i="5"/>
  <c r="S71" i="5"/>
  <c r="R71" i="5"/>
  <c r="R120" i="5"/>
  <c r="S120" i="5"/>
  <c r="S65" i="5"/>
  <c r="R65" i="5"/>
  <c r="R476" i="5"/>
  <c r="S476" i="5"/>
  <c r="R462" i="5"/>
  <c r="S462" i="5"/>
  <c r="S306" i="5"/>
  <c r="R306" i="5"/>
  <c r="R206" i="5"/>
  <c r="S206" i="5"/>
  <c r="R391" i="5"/>
  <c r="S391" i="5"/>
  <c r="R231" i="5"/>
  <c r="S231" i="5"/>
  <c r="R342" i="5"/>
  <c r="S342" i="5"/>
  <c r="R218" i="5"/>
  <c r="S218" i="5"/>
  <c r="S539" i="5"/>
  <c r="R539" i="5"/>
  <c r="S376" i="5"/>
  <c r="R376" i="5"/>
  <c r="R50" i="5"/>
  <c r="S50" i="5"/>
  <c r="S252" i="5"/>
  <c r="R252" i="5"/>
  <c r="R188" i="5"/>
  <c r="S188" i="5"/>
  <c r="R67" i="5"/>
  <c r="S67" i="5"/>
  <c r="R383" i="5"/>
  <c r="S383" i="5"/>
  <c r="S235" i="5"/>
  <c r="R235" i="5"/>
  <c r="S226" i="5"/>
  <c r="R226" i="5"/>
  <c r="R94" i="5"/>
  <c r="S94" i="5"/>
  <c r="S112" i="5"/>
  <c r="R112" i="5"/>
  <c r="R493" i="5"/>
  <c r="S493" i="5"/>
  <c r="R353" i="5"/>
  <c r="S353" i="5"/>
  <c r="S316" i="5"/>
  <c r="R316" i="5"/>
  <c r="S310" i="5"/>
  <c r="R310" i="5"/>
  <c r="S86" i="5"/>
  <c r="R86" i="5"/>
  <c r="S478" i="5"/>
  <c r="R478" i="5"/>
  <c r="S87" i="5"/>
  <c r="R87" i="5"/>
  <c r="S260" i="5"/>
  <c r="R260" i="5"/>
  <c r="S502" i="5"/>
  <c r="R502" i="5"/>
  <c r="R241" i="5"/>
  <c r="S241" i="5"/>
  <c r="R410" i="5"/>
  <c r="S410" i="5"/>
  <c r="R430" i="5"/>
  <c r="S430" i="5"/>
  <c r="S354" i="5"/>
  <c r="R354" i="5"/>
  <c r="S122" i="5"/>
  <c r="R122" i="5"/>
  <c r="R192" i="5"/>
  <c r="S192" i="5"/>
  <c r="S220" i="5"/>
  <c r="R220" i="5"/>
  <c r="R32" i="5"/>
  <c r="S32" i="5"/>
  <c r="S417" i="5"/>
  <c r="R417" i="5"/>
  <c r="R308" i="5"/>
  <c r="S308" i="5"/>
  <c r="R314" i="5"/>
  <c r="S314" i="5"/>
  <c r="S254" i="5"/>
  <c r="R254" i="5"/>
  <c r="R166" i="5"/>
  <c r="S166" i="5"/>
  <c r="R101" i="5"/>
  <c r="S101" i="5"/>
  <c r="S545" i="5"/>
  <c r="R545" i="5"/>
  <c r="R305" i="5"/>
  <c r="S305" i="5"/>
  <c r="S498" i="5"/>
  <c r="R498" i="5"/>
  <c r="S352" i="5"/>
  <c r="R352" i="5"/>
  <c r="S51" i="5"/>
  <c r="R51" i="5"/>
  <c r="S10" i="5"/>
  <c r="R10" i="5"/>
  <c r="R548" i="5"/>
  <c r="S548" i="5"/>
  <c r="R422" i="5"/>
  <c r="S422" i="5"/>
  <c r="S440" i="5"/>
  <c r="R440" i="5"/>
  <c r="R175" i="5"/>
  <c r="S175" i="5"/>
  <c r="S251" i="5"/>
  <c r="R251" i="5"/>
  <c r="S243" i="5"/>
  <c r="R243" i="5"/>
  <c r="S472" i="5"/>
  <c r="R472" i="5"/>
  <c r="S492" i="5"/>
  <c r="R492" i="5"/>
  <c r="R338" i="5"/>
  <c r="S338" i="5"/>
  <c r="S130" i="5"/>
  <c r="R130" i="5"/>
  <c r="S456" i="5"/>
  <c r="R456" i="5"/>
  <c r="S399" i="5"/>
  <c r="R399" i="5"/>
  <c r="S329" i="5"/>
  <c r="R329" i="5"/>
  <c r="S377" i="5"/>
  <c r="R377" i="5"/>
  <c r="R38" i="5"/>
  <c r="S38" i="5"/>
  <c r="R364" i="5"/>
  <c r="S364" i="5"/>
  <c r="R250" i="5"/>
  <c r="S250" i="5"/>
  <c r="R528" i="5"/>
  <c r="S528" i="5"/>
  <c r="R477" i="5"/>
  <c r="S477" i="5"/>
  <c r="S411" i="5"/>
  <c r="R411" i="5"/>
  <c r="R213" i="5"/>
  <c r="S213" i="5"/>
  <c r="S501" i="5"/>
  <c r="R501" i="5"/>
  <c r="R73" i="5"/>
  <c r="S73" i="5"/>
  <c r="R199" i="5"/>
  <c r="S199" i="5"/>
  <c r="R484" i="5"/>
  <c r="S484" i="5"/>
  <c r="S409" i="5"/>
  <c r="R409" i="5"/>
  <c r="R27" i="5"/>
  <c r="S27" i="5"/>
  <c r="S211" i="5"/>
  <c r="R211" i="5"/>
  <c r="S304" i="5"/>
  <c r="R304" i="5"/>
  <c r="R26" i="5"/>
  <c r="S26" i="5"/>
  <c r="S58" i="5"/>
  <c r="R58" i="5"/>
  <c r="R184" i="5"/>
  <c r="S184" i="5"/>
  <c r="S348" i="5"/>
  <c r="R348" i="5"/>
  <c r="S328" i="5"/>
  <c r="R328" i="5"/>
  <c r="R448" i="5"/>
  <c r="S448" i="5"/>
  <c r="S23" i="5"/>
  <c r="R23" i="5"/>
  <c r="S388" i="5"/>
  <c r="R388" i="5"/>
  <c r="R224" i="5"/>
  <c r="S224" i="5"/>
  <c r="S52" i="5"/>
  <c r="R52" i="5"/>
  <c r="R104" i="5"/>
  <c r="S104" i="5"/>
  <c r="R97" i="5"/>
  <c r="S97" i="5"/>
  <c r="R108" i="5"/>
  <c r="S108" i="5"/>
  <c r="S146" i="5"/>
  <c r="R146" i="5"/>
  <c r="R361" i="5"/>
  <c r="S361" i="5"/>
  <c r="S124" i="5"/>
  <c r="R124" i="5"/>
  <c r="R503" i="5"/>
  <c r="S503" i="5"/>
  <c r="S144" i="5"/>
  <c r="R144" i="5"/>
  <c r="S465" i="5"/>
  <c r="R465" i="5"/>
  <c r="S274" i="5"/>
  <c r="R274" i="5"/>
  <c r="R119" i="5"/>
  <c r="S119" i="5"/>
  <c r="R55" i="5"/>
  <c r="S55" i="5"/>
  <c r="S540" i="5"/>
  <c r="R540" i="5"/>
  <c r="R362" i="5"/>
  <c r="S362" i="5"/>
  <c r="R531" i="5"/>
  <c r="S531" i="5"/>
  <c r="S103" i="5"/>
  <c r="R103" i="5"/>
  <c r="S158" i="5"/>
  <c r="R158" i="5"/>
  <c r="S133" i="5"/>
  <c r="R133" i="5"/>
  <c r="S143" i="5"/>
  <c r="R143" i="5"/>
  <c r="R366" i="5"/>
  <c r="S366" i="5"/>
  <c r="R421" i="5"/>
  <c r="S421" i="5"/>
  <c r="S48" i="5"/>
  <c r="R48" i="5"/>
  <c r="R471" i="5"/>
  <c r="S471" i="5"/>
  <c r="R392" i="5"/>
  <c r="S392" i="5"/>
  <c r="R177" i="5"/>
  <c r="S177" i="5"/>
  <c r="S418" i="5"/>
  <c r="R418" i="5"/>
  <c r="R287" i="5"/>
  <c r="S287" i="5"/>
  <c r="S408" i="5"/>
  <c r="R408" i="5"/>
  <c r="BH7" i="5"/>
  <c r="BM7" i="5" s="1"/>
  <c r="BG7" i="5"/>
  <c r="BL7" i="5" s="1"/>
  <c r="BJ217" i="5"/>
  <c r="BK217" i="5"/>
  <c r="AK53" i="4"/>
  <c r="AL53" i="4" s="1"/>
  <c r="AN53" i="4"/>
  <c r="AF53" i="4"/>
  <c r="AG53" i="4" s="1"/>
  <c r="AI53" i="4" s="1"/>
  <c r="AC35" i="5"/>
  <c r="AC517" i="5"/>
  <c r="AC444" i="5"/>
  <c r="AC367" i="5"/>
  <c r="AC60" i="5"/>
  <c r="AC496" i="5"/>
  <c r="AC302" i="5"/>
  <c r="AC239" i="5"/>
  <c r="AC188" i="5"/>
  <c r="AC39" i="5"/>
  <c r="AC386" i="5"/>
  <c r="AC529" i="5"/>
  <c r="AC392" i="5"/>
  <c r="AC59" i="5"/>
  <c r="AC355" i="5"/>
  <c r="AC354" i="5"/>
  <c r="AC250" i="5"/>
  <c r="AC310" i="5"/>
  <c r="AC404" i="5"/>
  <c r="AC398" i="5"/>
  <c r="AC200" i="5"/>
  <c r="AC520" i="5"/>
  <c r="AC192" i="5"/>
  <c r="AC179" i="5"/>
  <c r="AC163" i="5"/>
  <c r="AC169" i="5"/>
  <c r="AC78" i="5"/>
  <c r="AC216" i="5"/>
  <c r="AC317" i="5"/>
  <c r="AC146" i="5"/>
  <c r="AC215" i="5"/>
  <c r="AC340" i="5"/>
  <c r="AC219" i="5"/>
  <c r="AC189" i="5"/>
  <c r="AC196" i="5"/>
  <c r="AC365" i="5"/>
  <c r="AC54" i="5"/>
  <c r="AC548" i="5"/>
  <c r="AC536" i="5"/>
  <c r="AC138" i="5"/>
  <c r="AC481" i="5"/>
  <c r="AC136" i="5"/>
  <c r="AC305" i="5"/>
  <c r="AC23" i="5"/>
  <c r="AC321" i="5"/>
  <c r="AC359" i="5"/>
  <c r="AC306" i="5"/>
  <c r="AC255" i="5"/>
  <c r="AC342" i="5"/>
  <c r="AC274" i="5"/>
  <c r="AC347" i="5"/>
  <c r="AC263" i="5"/>
  <c r="AC491" i="5"/>
  <c r="AC237" i="5"/>
  <c r="AC154" i="5"/>
  <c r="AC285" i="5"/>
  <c r="AC426" i="5"/>
  <c r="AC532" i="5"/>
  <c r="AC530" i="5"/>
  <c r="AC267" i="5"/>
  <c r="AC252" i="5"/>
  <c r="AC523" i="5"/>
  <c r="AC389" i="5"/>
  <c r="AC476" i="5"/>
  <c r="AC168" i="5"/>
  <c r="AC159" i="5"/>
  <c r="AC335" i="5"/>
  <c r="AC266" i="5"/>
  <c r="AC290" i="5"/>
  <c r="AC99" i="5"/>
  <c r="AC223" i="5"/>
  <c r="AC307" i="5"/>
  <c r="AC526" i="5"/>
  <c r="AC229" i="5"/>
  <c r="AC155" i="5"/>
  <c r="AC121" i="5"/>
  <c r="AC477" i="5"/>
  <c r="AC394" i="5"/>
  <c r="AC323" i="5"/>
  <c r="AC449" i="5"/>
  <c r="AC231" i="5"/>
  <c r="AC495" i="5"/>
  <c r="AC33" i="5"/>
  <c r="AC535" i="5"/>
  <c r="AC538" i="5"/>
  <c r="AC412" i="5"/>
  <c r="AC82" i="5"/>
  <c r="AC435" i="5"/>
  <c r="AC112" i="5"/>
  <c r="AC262" i="5"/>
  <c r="AC346" i="5"/>
  <c r="AC457" i="5"/>
  <c r="AC185" i="5"/>
  <c r="AC417" i="5"/>
  <c r="AC399" i="5"/>
  <c r="AC171" i="5"/>
  <c r="AC482" i="5"/>
  <c r="AC339" i="5"/>
  <c r="AC74" i="5"/>
  <c r="AC124" i="5"/>
  <c r="AC429" i="5"/>
  <c r="AC349" i="5"/>
  <c r="AC153" i="5"/>
  <c r="AC162" i="5"/>
  <c r="AC243" i="5"/>
  <c r="AC195" i="5"/>
  <c r="AC301" i="5"/>
  <c r="AC402" i="5"/>
  <c r="AC245" i="5"/>
  <c r="AC329" i="5"/>
  <c r="AC458" i="5"/>
  <c r="AC324" i="5"/>
  <c r="AC370" i="5"/>
  <c r="AC554" i="5"/>
  <c r="AC87" i="5"/>
  <c r="AC277" i="5"/>
  <c r="AC254" i="5"/>
  <c r="AC164" i="5"/>
  <c r="AC353" i="5"/>
  <c r="AC473" i="5"/>
  <c r="AC8" i="5"/>
  <c r="AC500" i="5"/>
  <c r="AC209" i="5"/>
  <c r="AC421" i="5"/>
  <c r="AC88" i="5"/>
  <c r="AC110" i="5"/>
  <c r="AC181" i="5"/>
  <c r="AC415" i="5"/>
  <c r="AC144" i="5"/>
  <c r="AC328" i="5"/>
  <c r="AC341" i="5"/>
  <c r="AC542" i="5"/>
  <c r="AC431" i="5"/>
  <c r="AC137" i="5"/>
  <c r="AC19" i="5"/>
  <c r="AC28" i="5"/>
  <c r="AC44" i="5"/>
  <c r="AQ139" i="4"/>
  <c r="AC139" i="4"/>
  <c r="AD139" i="4" s="1"/>
  <c r="AP139" i="4"/>
  <c r="AP104" i="4"/>
  <c r="AQ104" i="4"/>
  <c r="AC104" i="4"/>
  <c r="AD104" i="4" s="1"/>
  <c r="BJ27" i="5"/>
  <c r="BK27" i="5"/>
  <c r="BJ208" i="5"/>
  <c r="BK208" i="5"/>
  <c r="BJ399" i="5"/>
  <c r="BK399" i="5"/>
  <c r="BJ66" i="5"/>
  <c r="BK66" i="5"/>
  <c r="BK23" i="5"/>
  <c r="BJ23" i="5"/>
  <c r="AQ411" i="5"/>
  <c r="BI411" i="5"/>
  <c r="AR411" i="5"/>
  <c r="AQ446" i="5"/>
  <c r="BI446" i="5"/>
  <c r="AR446" i="5"/>
  <c r="AP87" i="4"/>
  <c r="AQ87" i="4"/>
  <c r="AC87" i="4"/>
  <c r="AD87" i="4" s="1"/>
  <c r="AF25" i="4"/>
  <c r="AG25" i="4" s="1"/>
  <c r="AI25" i="4" s="1"/>
  <c r="AK25" i="4"/>
  <c r="AL25" i="4" s="1"/>
  <c r="AN25" i="4"/>
  <c r="AN27" i="4"/>
  <c r="AK27" i="4"/>
  <c r="AL27" i="4" s="1"/>
  <c r="AF27" i="4"/>
  <c r="AG27" i="4" s="1"/>
  <c r="AI27" i="4" s="1"/>
  <c r="BJ170" i="5"/>
  <c r="BK170" i="5"/>
  <c r="BK240" i="5"/>
  <c r="BJ240" i="5"/>
  <c r="BJ472" i="5"/>
  <c r="BK472" i="5"/>
  <c r="BK145" i="5"/>
  <c r="BJ145" i="5"/>
  <c r="BK356" i="5"/>
  <c r="BJ356" i="5"/>
  <c r="AC133" i="5"/>
  <c r="AC454" i="5"/>
  <c r="AC92" i="5"/>
  <c r="AC75" i="5"/>
  <c r="AC193" i="5"/>
  <c r="AC280" i="5"/>
  <c r="AC413" i="5"/>
  <c r="AC244" i="5"/>
  <c r="AC356" i="5"/>
  <c r="AC283" i="5"/>
  <c r="AC456" i="5"/>
  <c r="AC546" i="5"/>
  <c r="AC371" i="5"/>
  <c r="AC557" i="5"/>
  <c r="AC94" i="5"/>
  <c r="AC484" i="5"/>
  <c r="AC460" i="5"/>
  <c r="AC336" i="5"/>
  <c r="AC228" i="5"/>
  <c r="AC174" i="5"/>
  <c r="AC198" i="5"/>
  <c r="AC152" i="5"/>
  <c r="AC173" i="5"/>
  <c r="AC469" i="5"/>
  <c r="AC395" i="5"/>
  <c r="AC251" i="5"/>
  <c r="AC117" i="5"/>
  <c r="AC241" i="5"/>
  <c r="AC407" i="5"/>
  <c r="AC420" i="5"/>
  <c r="AC48" i="5"/>
  <c r="AC471" i="5"/>
  <c r="AC89" i="5"/>
  <c r="AC143" i="5"/>
  <c r="AC428" i="5"/>
  <c r="AC211" i="5"/>
  <c r="AC57" i="5"/>
  <c r="AC490" i="5"/>
  <c r="AC493" i="5"/>
  <c r="AC472" i="5"/>
  <c r="AC177" i="5"/>
  <c r="AC291" i="5"/>
  <c r="AC547" i="5"/>
  <c r="AC199" i="5"/>
  <c r="AC374" i="5"/>
  <c r="AC480" i="5"/>
  <c r="AC351" i="5"/>
  <c r="AC433" i="5"/>
  <c r="AC105" i="5"/>
  <c r="AC497" i="5"/>
  <c r="AC288" i="5"/>
  <c r="AC25" i="5"/>
  <c r="AC427" i="5"/>
  <c r="AC130" i="5"/>
  <c r="AC388" i="5"/>
  <c r="AC483" i="5"/>
  <c r="AC505" i="5"/>
  <c r="AC100" i="5"/>
  <c r="AC53" i="5"/>
  <c r="AC151" i="5"/>
  <c r="AC264" i="5"/>
  <c r="AC156" i="5"/>
  <c r="AC512" i="5"/>
  <c r="AC275" i="5"/>
  <c r="AC303" i="5"/>
  <c r="AC343" i="5"/>
  <c r="AC452" i="5"/>
  <c r="AC67" i="5"/>
  <c r="AC314" i="5"/>
  <c r="AC68" i="5"/>
  <c r="AC295" i="5"/>
  <c r="AC378" i="5"/>
  <c r="AC539" i="5"/>
  <c r="AC65" i="5"/>
  <c r="AC253" i="5"/>
  <c r="AC545" i="5"/>
  <c r="AC47" i="5"/>
  <c r="AC425" i="5"/>
  <c r="AC432" i="5"/>
  <c r="AC333" i="5"/>
  <c r="AC450" i="5"/>
  <c r="AC271" i="5"/>
  <c r="AC287" i="5"/>
  <c r="AC95" i="5"/>
  <c r="AC120" i="5"/>
  <c r="AC289" i="5"/>
  <c r="AC544" i="5"/>
  <c r="AC486" i="5"/>
  <c r="AC488" i="5"/>
  <c r="AC487" i="5"/>
  <c r="AC128" i="5"/>
  <c r="AC203" i="5"/>
  <c r="AC453" i="5"/>
  <c r="AC220" i="5"/>
  <c r="AC191" i="5"/>
  <c r="AC322" i="5"/>
  <c r="AC381" i="5"/>
  <c r="AC207" i="5"/>
  <c r="AC474" i="5"/>
  <c r="AC424" i="5"/>
  <c r="AC41" i="5"/>
  <c r="AC279" i="5"/>
  <c r="AC93" i="5"/>
  <c r="AC393" i="5"/>
  <c r="AC331" i="5"/>
  <c r="AC150" i="5"/>
  <c r="AC236" i="5"/>
  <c r="AC352" i="5"/>
  <c r="AC551" i="5"/>
  <c r="AC549" i="5"/>
  <c r="AC83" i="5"/>
  <c r="AC234" i="5"/>
  <c r="AC316" i="5"/>
  <c r="AC372" i="5"/>
  <c r="AC51" i="5"/>
  <c r="AC187" i="5"/>
  <c r="AC309" i="5"/>
  <c r="AC437" i="5"/>
  <c r="AC507" i="5"/>
  <c r="AC558" i="5"/>
  <c r="AC522" i="5"/>
  <c r="AC210" i="5"/>
  <c r="AC166" i="5"/>
  <c r="AC258" i="5"/>
  <c r="AC70" i="5"/>
  <c r="AC21" i="5"/>
  <c r="AC76" i="5"/>
  <c r="AC282" i="5"/>
  <c r="AC29" i="5"/>
  <c r="AC541" i="5"/>
  <c r="AN51" i="4"/>
  <c r="AK51" i="4"/>
  <c r="AL51" i="4" s="1"/>
  <c r="AF51" i="4"/>
  <c r="AG51" i="4" s="1"/>
  <c r="AI51" i="4" s="1"/>
  <c r="BJ196" i="5"/>
  <c r="BK196" i="5"/>
  <c r="BK436" i="5"/>
  <c r="BJ436" i="5"/>
  <c r="BK182" i="5"/>
  <c r="BJ182" i="5"/>
  <c r="BJ184" i="5"/>
  <c r="BK184" i="5"/>
  <c r="AK120" i="4"/>
  <c r="AL120" i="4" s="1"/>
  <c r="AF120" i="4"/>
  <c r="AG120" i="4" s="1"/>
  <c r="AI120" i="4" s="1"/>
  <c r="AN120" i="4"/>
  <c r="BK94" i="5"/>
  <c r="BJ94" i="5"/>
  <c r="BK135" i="5"/>
  <c r="BJ135" i="5"/>
  <c r="BK490" i="5"/>
  <c r="BJ490" i="5"/>
  <c r="BK156" i="5"/>
  <c r="BJ156" i="5"/>
  <c r="BK45" i="5"/>
  <c r="BJ45" i="5"/>
  <c r="BJ392" i="5"/>
  <c r="BK392" i="5"/>
  <c r="BJ107" i="5"/>
  <c r="BK107" i="5"/>
  <c r="AQ176" i="5"/>
  <c r="AR176" i="5"/>
  <c r="BI176" i="5"/>
  <c r="BJ483" i="5"/>
  <c r="BK483" i="5"/>
  <c r="BJ199" i="5"/>
  <c r="BK199" i="5"/>
  <c r="BK221" i="5"/>
  <c r="BJ221" i="5"/>
  <c r="BK494" i="5"/>
  <c r="BJ494" i="5"/>
  <c r="BK22" i="5"/>
  <c r="BJ22" i="5"/>
  <c r="BJ275" i="5"/>
  <c r="BK275" i="5"/>
  <c r="BJ316" i="5"/>
  <c r="BK316" i="5"/>
  <c r="AN29" i="4"/>
  <c r="AK29" i="4"/>
  <c r="AL29" i="4" s="1"/>
  <c r="AF29" i="4"/>
  <c r="AG29" i="4" s="1"/>
  <c r="AI29" i="4" s="1"/>
  <c r="AQ138" i="4"/>
  <c r="AP138" i="4"/>
  <c r="AC138" i="4"/>
  <c r="AD138" i="4" s="1"/>
  <c r="BJ304" i="5"/>
  <c r="BK304" i="5"/>
  <c r="BK286" i="5"/>
  <c r="BJ286" i="5"/>
  <c r="AN9" i="4"/>
  <c r="AK9" i="4"/>
  <c r="AL9" i="4" s="1"/>
  <c r="AF9" i="4"/>
  <c r="AG9" i="4" s="1"/>
  <c r="AI9" i="4" s="1"/>
  <c r="BJ333" i="5"/>
  <c r="BK333" i="5"/>
  <c r="BJ124" i="5"/>
  <c r="BK124" i="5"/>
  <c r="BJ38" i="5"/>
  <c r="BK38" i="5"/>
  <c r="AC556" i="5"/>
  <c r="AC345" i="5"/>
  <c r="AC233" i="5"/>
  <c r="AC238" i="5"/>
  <c r="AC32" i="5"/>
  <c r="AC232" i="5"/>
  <c r="AC127" i="5"/>
  <c r="AC270" i="5"/>
  <c r="AC10" i="5"/>
  <c r="AC503" i="5"/>
  <c r="AC212" i="5"/>
  <c r="AC145" i="5"/>
  <c r="AC259" i="5"/>
  <c r="AC157" i="5"/>
  <c r="AC227" i="5"/>
  <c r="AC126" i="5"/>
  <c r="AC12" i="5"/>
  <c r="AC334" i="5"/>
  <c r="AC161" i="5"/>
  <c r="AC461" i="5"/>
  <c r="AC293" i="5"/>
  <c r="AC318" i="5"/>
  <c r="AC114" i="5"/>
  <c r="AC176" i="5"/>
  <c r="AC284" i="5"/>
  <c r="AC106" i="5"/>
  <c r="AC86" i="5"/>
  <c r="AC501" i="5"/>
  <c r="AC396" i="5"/>
  <c r="AC205" i="5"/>
  <c r="AC511" i="5"/>
  <c r="AC247" i="5"/>
  <c r="AC63" i="5"/>
  <c r="AC516" i="5"/>
  <c r="AC533" i="5"/>
  <c r="AC508" i="5"/>
  <c r="AC186" i="5"/>
  <c r="AC20" i="5"/>
  <c r="AC246" i="5"/>
  <c r="AC190" i="5"/>
  <c r="AC366" i="5"/>
  <c r="AC182" i="5"/>
  <c r="AC434" i="5"/>
  <c r="AC118" i="5"/>
  <c r="AC66" i="5"/>
  <c r="AC552" i="5"/>
  <c r="AC506" i="5"/>
  <c r="AC201" i="5"/>
  <c r="AC296" i="5"/>
  <c r="AC510" i="5"/>
  <c r="AC222" i="5"/>
  <c r="AC397" i="5"/>
  <c r="AC73" i="5"/>
  <c r="AC308" i="5"/>
  <c r="AC204" i="5"/>
  <c r="AC414" i="5"/>
  <c r="AC327" i="5"/>
  <c r="AC208" i="5"/>
  <c r="AC240" i="5"/>
  <c r="AC178" i="5"/>
  <c r="AC325" i="5"/>
  <c r="AC139" i="5"/>
  <c r="AC555" i="5"/>
  <c r="AC230" i="5"/>
  <c r="AC55" i="5"/>
  <c r="AC470" i="5"/>
  <c r="AC411" i="5"/>
  <c r="AC22" i="5"/>
  <c r="AC268" i="5"/>
  <c r="AC519" i="5"/>
  <c r="AC61" i="5"/>
  <c r="AC269" i="5"/>
  <c r="AC194" i="5"/>
  <c r="AC383" i="5"/>
  <c r="AC492" i="5"/>
  <c r="AC79" i="5"/>
  <c r="AC543" i="5"/>
  <c r="AC122" i="5"/>
  <c r="AC465" i="5"/>
  <c r="AC509" i="5"/>
  <c r="AC72" i="5"/>
  <c r="AC479" i="5"/>
  <c r="AC403" i="5"/>
  <c r="AC320" i="5"/>
  <c r="AC217" i="5"/>
  <c r="AC104" i="5"/>
  <c r="AC401" i="5"/>
  <c r="AC132" i="5"/>
  <c r="AC515" i="5"/>
  <c r="AC134" i="5"/>
  <c r="AC440" i="5"/>
  <c r="AC214" i="5"/>
  <c r="AC332" i="5"/>
  <c r="AC513" i="5"/>
  <c r="AC31" i="5"/>
  <c r="AC36" i="5"/>
  <c r="AC406" i="5"/>
  <c r="AC531" i="5"/>
  <c r="AC98" i="5"/>
  <c r="AC292" i="5"/>
  <c r="AC160" i="5"/>
  <c r="AC265" i="5"/>
  <c r="AC443" i="5"/>
  <c r="AC125" i="5"/>
  <c r="AC485" i="5"/>
  <c r="AC45" i="5"/>
  <c r="AC475" i="5"/>
  <c r="AC362" i="5"/>
  <c r="AC286" i="5"/>
  <c r="AC141" i="5"/>
  <c r="AC90" i="5"/>
  <c r="AC445" i="5"/>
  <c r="AC448" i="5"/>
  <c r="AC38" i="5"/>
  <c r="AC213" i="5"/>
  <c r="AC377" i="5"/>
  <c r="AC430" i="5"/>
  <c r="AC260" i="5"/>
  <c r="AC225" i="5"/>
  <c r="AC419" i="5"/>
  <c r="AC81" i="5"/>
  <c r="AC358" i="5"/>
  <c r="AC49" i="5"/>
  <c r="AC326" i="5"/>
  <c r="AC410" i="5"/>
  <c r="AC97" i="5"/>
  <c r="AC281" i="5"/>
  <c r="AC85" i="5"/>
  <c r="AC524" i="5"/>
  <c r="AC297" i="5"/>
  <c r="AN100" i="4"/>
  <c r="AK100" i="4"/>
  <c r="AL100" i="4" s="1"/>
  <c r="AF100" i="4"/>
  <c r="AG100" i="4" s="1"/>
  <c r="AI100" i="4" s="1"/>
  <c r="AN104" i="4"/>
  <c r="AK104" i="4"/>
  <c r="AL104" i="4" s="1"/>
  <c r="AF104" i="4"/>
  <c r="AG104" i="4" s="1"/>
  <c r="AI104" i="4" s="1"/>
  <c r="AP120" i="4"/>
  <c r="AQ120" i="4"/>
  <c r="AC120" i="4"/>
  <c r="AD120" i="4" s="1"/>
  <c r="AR252" i="5"/>
  <c r="BI252" i="5"/>
  <c r="AQ252" i="5"/>
  <c r="AQ260" i="5"/>
  <c r="AR260" i="5"/>
  <c r="BI260" i="5"/>
  <c r="BK26" i="5"/>
  <c r="BJ26" i="5"/>
  <c r="BJ31" i="5"/>
  <c r="BK31" i="5"/>
  <c r="AR154" i="5"/>
  <c r="BI154" i="5"/>
  <c r="AQ154" i="5"/>
  <c r="BJ339" i="5"/>
  <c r="BK339" i="5"/>
  <c r="BJ307" i="5"/>
  <c r="BK307" i="5"/>
  <c r="BI529" i="5"/>
  <c r="AR529" i="5"/>
  <c r="AQ529" i="5"/>
  <c r="BK119" i="5"/>
  <c r="BJ119" i="5"/>
  <c r="BI68" i="5"/>
  <c r="AR68" i="5"/>
  <c r="AQ68" i="5"/>
  <c r="BJ337" i="5"/>
  <c r="BK337" i="5"/>
  <c r="BJ102" i="5"/>
  <c r="BK102" i="5"/>
  <c r="BJ10" i="5"/>
  <c r="BK10" i="5"/>
  <c r="BJ422" i="5"/>
  <c r="BK422" i="5"/>
  <c r="AP47" i="4"/>
  <c r="AQ47" i="4"/>
  <c r="AC47" i="4"/>
  <c r="AD47" i="4" s="1"/>
  <c r="AK138" i="4"/>
  <c r="AL138" i="4" s="1"/>
  <c r="AN138" i="4"/>
  <c r="AF138" i="4"/>
  <c r="AG138" i="4" s="1"/>
  <c r="AI138" i="4" s="1"/>
  <c r="AQ80" i="4"/>
  <c r="AP80" i="4"/>
  <c r="AC80" i="4"/>
  <c r="AD80" i="4" s="1"/>
  <c r="BK254" i="5"/>
  <c r="BJ254" i="5"/>
  <c r="BK57" i="5"/>
  <c r="BJ57" i="5"/>
  <c r="BK313" i="5"/>
  <c r="BJ313" i="5"/>
  <c r="BK185" i="5"/>
  <c r="BJ185" i="5"/>
  <c r="BK183" i="5"/>
  <c r="BJ183" i="5"/>
  <c r="BJ473" i="5"/>
  <c r="BK473" i="5"/>
  <c r="BK111" i="5"/>
  <c r="BJ111" i="5"/>
  <c r="BK273" i="5"/>
  <c r="BJ273" i="5"/>
  <c r="AQ99" i="4"/>
  <c r="AP99" i="4"/>
  <c r="AC99" i="4"/>
  <c r="AD99" i="4" s="1"/>
  <c r="AN91" i="4"/>
  <c r="AK91" i="4"/>
  <c r="AL91" i="4" s="1"/>
  <c r="AF91" i="4"/>
  <c r="AG91" i="4" s="1"/>
  <c r="AI91" i="4" s="1"/>
  <c r="AK46" i="4"/>
  <c r="AL46" i="4" s="1"/>
  <c r="AN46" i="4"/>
  <c r="AF46" i="4"/>
  <c r="AG46" i="4" s="1"/>
  <c r="AI46" i="4" s="1"/>
  <c r="AC9" i="5"/>
  <c r="AC455" i="5"/>
  <c r="AC344" i="5"/>
  <c r="AC96" i="5"/>
  <c r="AC382" i="5"/>
  <c r="AC311" i="5"/>
  <c r="AC534" i="5"/>
  <c r="AC459" i="5"/>
  <c r="AC363" i="5"/>
  <c r="AC58" i="5"/>
  <c r="AC330" i="5"/>
  <c r="AC50" i="5"/>
  <c r="AC313" i="5"/>
  <c r="AC423" i="5"/>
  <c r="AC135" i="5"/>
  <c r="AC142" i="5"/>
  <c r="AC224" i="5"/>
  <c r="AC111" i="5"/>
  <c r="AC439" i="5"/>
  <c r="AC261" i="5"/>
  <c r="AC24" i="5"/>
  <c r="AC71" i="5"/>
  <c r="AC312" i="5"/>
  <c r="AC206" i="5"/>
  <c r="AC257" i="5"/>
  <c r="AC273" i="5"/>
  <c r="AC147" i="5"/>
  <c r="AC140" i="5"/>
  <c r="AC131" i="5"/>
  <c r="AC540" i="5"/>
  <c r="AC400" i="5"/>
  <c r="AC103" i="5"/>
  <c r="AC375" i="5"/>
  <c r="AC357" i="5"/>
  <c r="AC502" i="5"/>
  <c r="AC361" i="5"/>
  <c r="AC390" i="5"/>
  <c r="AC553" i="5"/>
  <c r="AC102" i="5"/>
  <c r="AC52" i="5"/>
  <c r="AC338" i="5"/>
  <c r="AC221" i="5"/>
  <c r="AC467" i="5"/>
  <c r="AC26" i="5"/>
  <c r="AC226" i="5"/>
  <c r="AC446" i="5"/>
  <c r="AC158" i="5"/>
  <c r="AC436" i="5"/>
  <c r="AC550" i="5"/>
  <c r="AC165" i="5"/>
  <c r="AC202" i="5"/>
  <c r="AC368" i="5"/>
  <c r="AC80" i="5"/>
  <c r="AC278" i="5"/>
  <c r="AC464" i="5"/>
  <c r="AC478" i="5"/>
  <c r="AC463" i="5"/>
  <c r="AC376" i="5"/>
  <c r="AC387" i="5"/>
  <c r="AC183" i="5"/>
  <c r="AC108" i="5"/>
  <c r="AC422" i="5"/>
  <c r="AC184" i="5"/>
  <c r="AC197" i="5"/>
  <c r="AC84" i="5"/>
  <c r="AC294" i="5"/>
  <c r="AC498" i="5"/>
  <c r="AC385" i="5"/>
  <c r="AC380" i="5"/>
  <c r="AC499" i="5"/>
  <c r="AC298" i="5"/>
  <c r="AC409" i="5"/>
  <c r="AC113" i="5"/>
  <c r="AC148" i="5"/>
  <c r="AC107" i="5"/>
  <c r="AC391" i="5"/>
  <c r="AC489" i="5"/>
  <c r="AC43" i="5"/>
  <c r="AC360" i="5"/>
  <c r="AC101" i="5"/>
  <c r="AC30" i="5"/>
  <c r="AC337" i="5"/>
  <c r="AC40" i="5"/>
  <c r="AC172" i="5"/>
  <c r="AC379" i="5"/>
  <c r="AC408" i="5"/>
  <c r="AC116" i="5"/>
  <c r="AC518" i="5"/>
  <c r="AC276" i="5"/>
  <c r="AC175" i="5"/>
  <c r="AC528" i="5"/>
  <c r="AC384" i="5"/>
  <c r="AC451" i="5"/>
  <c r="AC441" i="5"/>
  <c r="AC56" i="5"/>
  <c r="AC91" i="5"/>
  <c r="AC438" i="5"/>
  <c r="AC416" i="5"/>
  <c r="AC109" i="5"/>
  <c r="AC364" i="5"/>
  <c r="AC13" i="5"/>
  <c r="AC319" i="5"/>
  <c r="AC300" i="5"/>
  <c r="AC69" i="5"/>
  <c r="AC442" i="5"/>
  <c r="AC462" i="5"/>
  <c r="AC42" i="5"/>
  <c r="AC64" i="5"/>
  <c r="AC123" i="5"/>
  <c r="AC537" i="5"/>
  <c r="AC521" i="5"/>
  <c r="AC447" i="5"/>
  <c r="AC350" i="5"/>
  <c r="AC369" i="5"/>
  <c r="AC115" i="5"/>
  <c r="AC27" i="5"/>
  <c r="AC149" i="5"/>
  <c r="AC373" i="5"/>
  <c r="AC504" i="5"/>
  <c r="AC180" i="5"/>
  <c r="AC34" i="5"/>
  <c r="AC119" i="5"/>
  <c r="AC242" i="5"/>
  <c r="AC299" i="5"/>
  <c r="AC466" i="5"/>
  <c r="AC272" i="5"/>
  <c r="AC514" i="5"/>
  <c r="AC559" i="5"/>
  <c r="AC62" i="5"/>
  <c r="AC560" i="5"/>
  <c r="AC77" i="5"/>
  <c r="AC37" i="5"/>
  <c r="AC405" i="5"/>
  <c r="AC468" i="5"/>
  <c r="AC256" i="5"/>
  <c r="AC348" i="5"/>
  <c r="AC46" i="5"/>
  <c r="AQ100" i="4"/>
  <c r="AP100" i="4"/>
  <c r="AC100" i="4"/>
  <c r="AD100" i="4" s="1"/>
  <c r="AN139" i="4"/>
  <c r="AK139" i="4"/>
  <c r="AL139" i="4" s="1"/>
  <c r="AF139" i="4"/>
  <c r="AG139" i="4" s="1"/>
  <c r="AI139" i="4" s="1"/>
  <c r="BJ245" i="5"/>
  <c r="BK245" i="5"/>
  <c r="BJ412" i="5"/>
  <c r="BK412" i="5"/>
  <c r="BJ278" i="5"/>
  <c r="BK278" i="5"/>
  <c r="BJ408" i="5"/>
  <c r="BK408" i="5"/>
  <c r="AQ394" i="5"/>
  <c r="AR394" i="5"/>
  <c r="BI394" i="5"/>
  <c r="BK134" i="5"/>
  <c r="BJ134" i="5"/>
  <c r="BK403" i="5"/>
  <c r="BJ403" i="5"/>
  <c r="BK87" i="5"/>
  <c r="BJ87" i="5"/>
  <c r="BJ469" i="5"/>
  <c r="BK469" i="5"/>
  <c r="BJ522" i="5"/>
  <c r="BK522" i="5"/>
  <c r="AQ444" i="5"/>
  <c r="AR444" i="5"/>
  <c r="BI444" i="5"/>
  <c r="BJ41" i="5"/>
  <c r="BK41" i="5"/>
  <c r="BJ235" i="5"/>
  <c r="BK235" i="5"/>
  <c r="BI159" i="5"/>
  <c r="AQ159" i="5"/>
  <c r="AR159" i="5"/>
  <c r="BK61" i="5"/>
  <c r="BJ61" i="5"/>
  <c r="BK195" i="5"/>
  <c r="BJ195" i="5"/>
  <c r="BK101" i="5"/>
  <c r="BJ101" i="5"/>
  <c r="BJ519" i="5"/>
  <c r="BK519" i="5"/>
  <c r="BK331" i="5"/>
  <c r="BJ331" i="5"/>
  <c r="BJ534" i="5"/>
  <c r="BK534" i="5"/>
  <c r="AN87" i="4"/>
  <c r="AK87" i="4"/>
  <c r="AL87" i="4" s="1"/>
  <c r="AF87" i="4"/>
  <c r="AG87" i="4" s="1"/>
  <c r="AI87" i="4" s="1"/>
  <c r="AN47" i="4"/>
  <c r="AK47" i="4"/>
  <c r="AL47" i="4" s="1"/>
  <c r="AF47" i="4"/>
  <c r="AG47" i="4" s="1"/>
  <c r="AI47" i="4" s="1"/>
  <c r="AK35" i="4"/>
  <c r="AL35" i="4" s="1"/>
  <c r="AN35" i="4"/>
  <c r="AF35" i="4"/>
  <c r="AG35" i="4" s="1"/>
  <c r="AI35" i="4" s="1"/>
  <c r="AK10" i="4"/>
  <c r="AL10" i="4" s="1"/>
  <c r="AN10" i="4"/>
  <c r="AF10" i="4"/>
  <c r="AG10" i="4" s="1"/>
  <c r="AI10" i="4" s="1"/>
  <c r="AK80" i="4"/>
  <c r="AL80" i="4" s="1"/>
  <c r="AN80" i="4"/>
  <c r="AF80" i="4"/>
  <c r="AG80" i="4" s="1"/>
  <c r="AI80" i="4" s="1"/>
  <c r="AF16" i="4"/>
  <c r="AG16" i="4" s="1"/>
  <c r="AI16" i="4" s="1"/>
  <c r="AN16" i="4"/>
  <c r="AK16" i="4"/>
  <c r="AL16" i="4" s="1"/>
  <c r="BJ538" i="5"/>
  <c r="BK538" i="5"/>
  <c r="BJ546" i="5"/>
  <c r="BK546" i="5"/>
  <c r="BJ489" i="5"/>
  <c r="BK489" i="5"/>
  <c r="BJ456" i="5" l="1"/>
  <c r="BK343" i="5"/>
  <c r="BK140" i="5"/>
  <c r="BJ80" i="5"/>
  <c r="BK178" i="5"/>
  <c r="BJ270" i="5"/>
  <c r="BJ535" i="5"/>
  <c r="BK338" i="5"/>
  <c r="BK282" i="5"/>
  <c r="BK193" i="5"/>
  <c r="BK397" i="5"/>
  <c r="BK418" i="5"/>
  <c r="BJ274" i="5"/>
  <c r="BK368" i="5"/>
  <c r="BK202" i="5"/>
  <c r="BK228" i="5"/>
  <c r="BK117" i="5"/>
  <c r="BK375" i="5"/>
  <c r="BK250" i="5"/>
  <c r="BK344" i="5"/>
  <c r="BK243" i="5"/>
  <c r="BK227" i="5"/>
  <c r="BK545" i="5"/>
  <c r="BJ244" i="5"/>
  <c r="BJ391" i="5"/>
  <c r="BK326" i="5"/>
  <c r="BJ279" i="5"/>
  <c r="BJ560" i="5"/>
  <c r="BK241" i="5"/>
  <c r="BK64" i="5"/>
  <c r="BJ272" i="5"/>
  <c r="BK324" i="5"/>
  <c r="BK285" i="5"/>
  <c r="BK340" i="5"/>
  <c r="BK52" i="5"/>
  <c r="BK32" i="5"/>
  <c r="BK365" i="5"/>
  <c r="BK526" i="5"/>
  <c r="BK528" i="5"/>
  <c r="BJ230" i="5"/>
  <c r="BK132" i="5"/>
  <c r="BK514" i="5"/>
  <c r="BK164" i="5"/>
  <c r="BJ181" i="5"/>
  <c r="BK363" i="5"/>
  <c r="BJ171" i="5"/>
  <c r="BJ200" i="5"/>
  <c r="BJ173" i="5"/>
  <c r="AC10" i="4"/>
  <c r="AD10" i="4" s="1"/>
  <c r="BK466" i="5"/>
  <c r="BJ133" i="5"/>
  <c r="BJ432" i="5"/>
  <c r="BJ237" i="5"/>
  <c r="BJ40" i="5"/>
  <c r="BJ292" i="5"/>
  <c r="AN58" i="4"/>
  <c r="AK58" i="4"/>
  <c r="AL58" i="4" s="1"/>
  <c r="BK536" i="5"/>
  <c r="BK105" i="5"/>
  <c r="AC145" i="4"/>
  <c r="AD145" i="4" s="1"/>
  <c r="BJ476" i="5"/>
  <c r="BJ246" i="5"/>
  <c r="BJ358" i="5"/>
  <c r="BJ287" i="5"/>
  <c r="BK192" i="5"/>
  <c r="BK253" i="5"/>
  <c r="BJ20" i="5"/>
  <c r="BK515" i="5"/>
  <c r="AN127" i="4"/>
  <c r="AO127" i="4" s="1"/>
  <c r="BK96" i="5"/>
  <c r="BK387" i="5"/>
  <c r="AF86" i="4"/>
  <c r="AG86" i="4" s="1"/>
  <c r="AI86" i="4" s="1"/>
  <c r="AK86" i="4"/>
  <c r="AL86" i="4" s="1"/>
  <c r="AO86" i="4" s="1"/>
  <c r="BJ501" i="5"/>
  <c r="BK39" i="5"/>
  <c r="AF127" i="4"/>
  <c r="AG127" i="4" s="1"/>
  <c r="AI127" i="4" s="1"/>
  <c r="BK512" i="5"/>
  <c r="BK8" i="5"/>
  <c r="BK349" i="5"/>
  <c r="BJ158" i="5"/>
  <c r="BJ70" i="5"/>
  <c r="BJ281" i="5"/>
  <c r="BJ266" i="5"/>
  <c r="AN130" i="4"/>
  <c r="AK130" i="4"/>
  <c r="AL130" i="4" s="1"/>
  <c r="BK410" i="5"/>
  <c r="AN131" i="4"/>
  <c r="AO131" i="4" s="1"/>
  <c r="BJ463" i="5"/>
  <c r="AQ86" i="4"/>
  <c r="BJ477" i="5"/>
  <c r="AQ145" i="4"/>
  <c r="BJ71" i="5"/>
  <c r="BJ137" i="5"/>
  <c r="AC130" i="4"/>
  <c r="AD130" i="4" s="1"/>
  <c r="AQ130" i="4"/>
  <c r="BK143" i="5"/>
  <c r="BJ421" i="5"/>
  <c r="BJ214" i="5"/>
  <c r="AF123" i="4"/>
  <c r="AG123" i="4" s="1"/>
  <c r="AI123" i="4" s="1"/>
  <c r="BJ298" i="5"/>
  <c r="BK478" i="5"/>
  <c r="AN123" i="4"/>
  <c r="AO123" i="4" s="1"/>
  <c r="AC86" i="4"/>
  <c r="AD86" i="4" s="1"/>
  <c r="BJ115" i="5"/>
  <c r="AC126" i="4"/>
  <c r="AD126" i="4" s="1"/>
  <c r="BK389" i="5"/>
  <c r="BJ177" i="5"/>
  <c r="BJ439" i="5"/>
  <c r="BJ471" i="5"/>
  <c r="BK74" i="5"/>
  <c r="BK277" i="5"/>
  <c r="BK521" i="5"/>
  <c r="BK367" i="5"/>
  <c r="BJ516" i="5"/>
  <c r="BK355" i="5"/>
  <c r="BK442" i="5"/>
  <c r="BJ43" i="5"/>
  <c r="BK146" i="5"/>
  <c r="BJ468" i="5"/>
  <c r="BK224" i="5"/>
  <c r="BJ510" i="5"/>
  <c r="BJ194" i="5"/>
  <c r="BK21" i="5"/>
  <c r="BJ231" i="5"/>
  <c r="BJ428" i="5"/>
  <c r="BK544" i="5"/>
  <c r="BJ475" i="5"/>
  <c r="BJ82" i="5"/>
  <c r="BJ321" i="5"/>
  <c r="AF58" i="4"/>
  <c r="AG58" i="4" s="1"/>
  <c r="AI58" i="4" s="1"/>
  <c r="BJ414" i="5"/>
  <c r="BK532" i="5"/>
  <c r="BK361" i="5"/>
  <c r="BK86" i="5"/>
  <c r="BJ346" i="5"/>
  <c r="BJ434" i="5"/>
  <c r="AN145" i="4"/>
  <c r="BJ24" i="5"/>
  <c r="BJ229" i="5"/>
  <c r="AK145" i="4"/>
  <c r="AL145" i="4" s="1"/>
  <c r="BK551" i="5"/>
  <c r="BJ484" i="5"/>
  <c r="BK167" i="5"/>
  <c r="BJ480" i="5"/>
  <c r="AQ127" i="4"/>
  <c r="BK213" i="5"/>
  <c r="AN75" i="4"/>
  <c r="AP127" i="4"/>
  <c r="BJ141" i="5"/>
  <c r="AQ29" i="4"/>
  <c r="BK232" i="5"/>
  <c r="AN92" i="4"/>
  <c r="AO92" i="4" s="1"/>
  <c r="BJ261" i="5"/>
  <c r="AF92" i="4"/>
  <c r="AG92" i="4" s="1"/>
  <c r="AI92" i="4" s="1"/>
  <c r="BK108" i="5"/>
  <c r="BJ162" i="5"/>
  <c r="BK449" i="5"/>
  <c r="BK106" i="5"/>
  <c r="BK486" i="5"/>
  <c r="BK303" i="5"/>
  <c r="AP125" i="4"/>
  <c r="BJ85" i="5"/>
  <c r="AF78" i="4"/>
  <c r="AG78" i="4" s="1"/>
  <c r="AI78" i="4" s="1"/>
  <c r="AQ125" i="4"/>
  <c r="AN78" i="4"/>
  <c r="AO78" i="4" s="1"/>
  <c r="BJ507" i="5"/>
  <c r="BJ42" i="5"/>
  <c r="BK336" i="5"/>
  <c r="BJ258" i="5"/>
  <c r="BJ458" i="5"/>
  <c r="AF131" i="4"/>
  <c r="AG131" i="4" s="1"/>
  <c r="AI131" i="4" s="1"/>
  <c r="BK542" i="5"/>
  <c r="AQ126" i="4"/>
  <c r="BK78" i="5"/>
  <c r="BJ125" i="5"/>
  <c r="BJ256" i="5"/>
  <c r="BK330" i="5"/>
  <c r="AQ85" i="4"/>
  <c r="AN76" i="4"/>
  <c r="AK42" i="4"/>
  <c r="AL42" i="4" s="1"/>
  <c r="AO42" i="4" s="1"/>
  <c r="AP39" i="4"/>
  <c r="AC53" i="4"/>
  <c r="AD53" i="4" s="1"/>
  <c r="AC39" i="4"/>
  <c r="AD39" i="4" s="1"/>
  <c r="AQ53" i="4"/>
  <c r="BJ92" i="5"/>
  <c r="BK63" i="5"/>
  <c r="BJ557" i="5"/>
  <c r="BK371" i="5"/>
  <c r="BJ259" i="5"/>
  <c r="BK400" i="5"/>
  <c r="BK525" i="5"/>
  <c r="BK95" i="5"/>
  <c r="BK291" i="5"/>
  <c r="BJ268" i="5"/>
  <c r="BJ317" i="5"/>
  <c r="BJ76" i="5"/>
  <c r="BK374" i="5"/>
  <c r="BK150" i="5"/>
  <c r="BJ481" i="5"/>
  <c r="BJ380" i="5"/>
  <c r="BJ376" i="5"/>
  <c r="BK312" i="5"/>
  <c r="BK201" i="5"/>
  <c r="BJ311" i="5"/>
  <c r="BJ362" i="5"/>
  <c r="BJ34" i="5"/>
  <c r="BK433" i="5"/>
  <c r="BJ342" i="5"/>
  <c r="BK59" i="5"/>
  <c r="BJ402" i="5"/>
  <c r="AQ131" i="4"/>
  <c r="BJ212" i="5"/>
  <c r="BK88" i="5"/>
  <c r="BJ487" i="5"/>
  <c r="AQ123" i="4"/>
  <c r="AN126" i="4"/>
  <c r="AO126" i="4" s="1"/>
  <c r="BK12" i="5"/>
  <c r="AC123" i="4"/>
  <c r="AD123" i="4" s="1"/>
  <c r="BJ537" i="5"/>
  <c r="BJ327" i="5"/>
  <c r="BJ299" i="5"/>
  <c r="BJ190" i="5"/>
  <c r="BK437" i="5"/>
  <c r="BJ56" i="5"/>
  <c r="BJ197" i="5"/>
  <c r="BK226" i="5"/>
  <c r="BJ404" i="5"/>
  <c r="BK350" i="5"/>
  <c r="BJ555" i="5"/>
  <c r="BJ233" i="5"/>
  <c r="BK427" i="5"/>
  <c r="BK296" i="5"/>
  <c r="BK502" i="5"/>
  <c r="BK136" i="5"/>
  <c r="BJ75" i="5"/>
  <c r="BK191" i="5"/>
  <c r="BJ168" i="5"/>
  <c r="AP37" i="4"/>
  <c r="BJ448" i="5"/>
  <c r="AC51" i="4"/>
  <c r="AD51" i="4" s="1"/>
  <c r="AP51" i="4"/>
  <c r="BK329" i="5"/>
  <c r="BK35" i="5"/>
  <c r="BK508" i="5"/>
  <c r="BK203" i="5"/>
  <c r="BJ65" i="5"/>
  <c r="BK498" i="5"/>
  <c r="BK455" i="5"/>
  <c r="BK126" i="5"/>
  <c r="BJ318" i="5"/>
  <c r="BK109" i="5"/>
  <c r="BK28" i="5"/>
  <c r="BK205" i="5"/>
  <c r="BK443" i="5"/>
  <c r="BJ166" i="5"/>
  <c r="BJ163" i="5"/>
  <c r="BJ533" i="5"/>
  <c r="BK441" i="5"/>
  <c r="BJ495" i="5"/>
  <c r="BJ60" i="5"/>
  <c r="BK302" i="5"/>
  <c r="BK37" i="5"/>
  <c r="BK238" i="5"/>
  <c r="BJ382" i="5"/>
  <c r="BK276" i="5"/>
  <c r="BK552" i="5"/>
  <c r="BK511" i="5"/>
  <c r="BK25" i="5"/>
  <c r="BK180" i="5"/>
  <c r="BJ79" i="5"/>
  <c r="BJ360" i="5"/>
  <c r="BK366" i="5"/>
  <c r="BK460" i="5"/>
  <c r="BK357" i="5"/>
  <c r="BJ354" i="5"/>
  <c r="BK398" i="5"/>
  <c r="BJ83" i="5"/>
  <c r="BK322" i="5"/>
  <c r="BJ295" i="5"/>
  <c r="BK464" i="5"/>
  <c r="AF109" i="4"/>
  <c r="AG109" i="4" s="1"/>
  <c r="AI109" i="4" s="1"/>
  <c r="BK457" i="5"/>
  <c r="AF148" i="4"/>
  <c r="AG148" i="4" s="1"/>
  <c r="AI148" i="4" s="1"/>
  <c r="BJ290" i="5"/>
  <c r="BK405" i="5"/>
  <c r="BK492" i="5"/>
  <c r="AQ35" i="4"/>
  <c r="AC131" i="4"/>
  <c r="AD131" i="4" s="1"/>
  <c r="AC49" i="4"/>
  <c r="AD49" i="4" s="1"/>
  <c r="AK75" i="4"/>
  <c r="AL75" i="4" s="1"/>
  <c r="AF151" i="4"/>
  <c r="AG151" i="4" s="1"/>
  <c r="AI151" i="4" s="1"/>
  <c r="AK151" i="4"/>
  <c r="AL151" i="4" s="1"/>
  <c r="AO151" i="4" s="1"/>
  <c r="BK493" i="5"/>
  <c r="BJ496" i="5"/>
  <c r="BJ53" i="5"/>
  <c r="BK152" i="5"/>
  <c r="BJ99" i="5"/>
  <c r="AC76" i="4"/>
  <c r="AD76" i="4" s="1"/>
  <c r="BK531" i="5"/>
  <c r="AP76" i="4"/>
  <c r="BJ157" i="5"/>
  <c r="BJ129" i="5"/>
  <c r="BK390" i="5"/>
  <c r="BJ67" i="5"/>
  <c r="AK155" i="4"/>
  <c r="AL155" i="4" s="1"/>
  <c r="AO155" i="4" s="1"/>
  <c r="BJ153" i="5"/>
  <c r="BK335" i="5"/>
  <c r="AF155" i="4"/>
  <c r="AG155" i="4" s="1"/>
  <c r="AI155" i="4" s="1"/>
  <c r="BJ210" i="5"/>
  <c r="BK188" i="5"/>
  <c r="BK269" i="5"/>
  <c r="BJ264" i="5"/>
  <c r="BK110" i="5"/>
  <c r="BK348" i="5"/>
  <c r="AF156" i="4"/>
  <c r="AG156" i="4" s="1"/>
  <c r="AI156" i="4" s="1"/>
  <c r="AN156" i="4"/>
  <c r="AO156" i="4" s="1"/>
  <c r="AP46" i="4"/>
  <c r="BK424" i="5"/>
  <c r="BJ447" i="5"/>
  <c r="BJ58" i="5"/>
  <c r="BK393" i="5"/>
  <c r="BJ450" i="5"/>
  <c r="AK148" i="4"/>
  <c r="AL148" i="4" s="1"/>
  <c r="AO148" i="4" s="1"/>
  <c r="BJ301" i="5"/>
  <c r="AN109" i="4"/>
  <c r="AO109" i="4" s="1"/>
  <c r="BJ100" i="5"/>
  <c r="BJ540" i="5"/>
  <c r="AC30" i="4"/>
  <c r="AD30" i="4" s="1"/>
  <c r="AC56" i="4"/>
  <c r="AD56" i="4" s="1"/>
  <c r="BK91" i="5"/>
  <c r="BK543" i="5"/>
  <c r="AQ30" i="4"/>
  <c r="AP56" i="4"/>
  <c r="BK506" i="5"/>
  <c r="BK347" i="5"/>
  <c r="BK328" i="5"/>
  <c r="BJ310" i="5"/>
  <c r="BK51" i="5"/>
  <c r="BJ378" i="5"/>
  <c r="BK263" i="5"/>
  <c r="BK69" i="5"/>
  <c r="BK315" i="5"/>
  <c r="BK554" i="5"/>
  <c r="BK548" i="5"/>
  <c r="BJ332" i="5"/>
  <c r="AC36" i="4"/>
  <c r="AD36" i="4" s="1"/>
  <c r="BK294" i="5"/>
  <c r="BK353" i="5"/>
  <c r="BK89" i="5"/>
  <c r="BK62" i="5"/>
  <c r="BJ249" i="5"/>
  <c r="BJ142" i="5"/>
  <c r="AN108" i="4"/>
  <c r="AO108" i="4" s="1"/>
  <c r="BJ50" i="5"/>
  <c r="BK488" i="5"/>
  <c r="AN154" i="4"/>
  <c r="AO154" i="4" s="1"/>
  <c r="AF108" i="4"/>
  <c r="AG108" i="4" s="1"/>
  <c r="AI108" i="4" s="1"/>
  <c r="BK198" i="5"/>
  <c r="AC97" i="4"/>
  <c r="AD97" i="4" s="1"/>
  <c r="AQ97" i="4"/>
  <c r="BJ308" i="5"/>
  <c r="BK247" i="5"/>
  <c r="AF154" i="4"/>
  <c r="AG154" i="4" s="1"/>
  <c r="AI154" i="4" s="1"/>
  <c r="BJ93" i="5"/>
  <c r="BK527" i="5"/>
  <c r="BJ44" i="5"/>
  <c r="BJ413" i="5"/>
  <c r="AP124" i="4"/>
  <c r="AF126" i="4"/>
  <c r="AG126" i="4" s="1"/>
  <c r="AI126" i="4" s="1"/>
  <c r="BJ300" i="5"/>
  <c r="BK505" i="5"/>
  <c r="AC52" i="4"/>
  <c r="AD52" i="4" s="1"/>
  <c r="BJ251" i="5"/>
  <c r="BK341" i="5"/>
  <c r="AC58" i="4"/>
  <c r="AD58" i="4" s="1"/>
  <c r="AP58" i="4"/>
  <c r="BK265" i="5"/>
  <c r="AC35" i="4"/>
  <c r="AD35" i="4" s="1"/>
  <c r="AQ154" i="4"/>
  <c r="AK32" i="4"/>
  <c r="AL32" i="4" s="1"/>
  <c r="AO32" i="4" s="1"/>
  <c r="AP154" i="4"/>
  <c r="AF73" i="4"/>
  <c r="AG73" i="4" s="1"/>
  <c r="AI73" i="4" s="1"/>
  <c r="BJ155" i="5"/>
  <c r="AN73" i="4"/>
  <c r="AO73" i="4" s="1"/>
  <c r="B189" i="2"/>
  <c r="B224" i="2" s="1"/>
  <c r="F69" i="1" s="1"/>
  <c r="BJ426" i="5"/>
  <c r="BK503" i="5"/>
  <c r="BK396" i="5"/>
  <c r="AK64" i="4"/>
  <c r="AL64" i="4" s="1"/>
  <c r="AO64" i="4" s="1"/>
  <c r="BJ556" i="5"/>
  <c r="AC73" i="4"/>
  <c r="AD73" i="4" s="1"/>
  <c r="BK454" i="5"/>
  <c r="AP73" i="4"/>
  <c r="AC43" i="4"/>
  <c r="AD43" i="4" s="1"/>
  <c r="BK388" i="5"/>
  <c r="BK104" i="5"/>
  <c r="AQ43" i="4"/>
  <c r="BK459" i="5"/>
  <c r="BJ218" i="5"/>
  <c r="BJ293" i="5"/>
  <c r="AF56" i="4"/>
  <c r="AG56" i="4" s="1"/>
  <c r="AI56" i="4" s="1"/>
  <c r="AN56" i="4"/>
  <c r="AO56" i="4" s="1"/>
  <c r="AJ56" i="4"/>
  <c r="BK7" i="5"/>
  <c r="AF142" i="4"/>
  <c r="AG142" i="4" s="1"/>
  <c r="AI142" i="4" s="1"/>
  <c r="BK523" i="5"/>
  <c r="AK142" i="4"/>
  <c r="AL142" i="4" s="1"/>
  <c r="AO142" i="4" s="1"/>
  <c r="BJ325" i="5"/>
  <c r="BK144" i="5"/>
  <c r="BJ297" i="5"/>
  <c r="AK36" i="4"/>
  <c r="AL36" i="4" s="1"/>
  <c r="AO36" i="4" s="1"/>
  <c r="BJ255" i="5"/>
  <c r="BK248" i="5"/>
  <c r="BK351" i="5"/>
  <c r="AQ52" i="4"/>
  <c r="AQ27" i="4"/>
  <c r="AK49" i="4"/>
  <c r="AL49" i="4" s="1"/>
  <c r="AO49" i="4" s="1"/>
  <c r="AC27" i="4"/>
  <c r="AD27" i="4" s="1"/>
  <c r="AP114" i="4"/>
  <c r="AQ114" i="4"/>
  <c r="AC124" i="4"/>
  <c r="AD124" i="4" s="1"/>
  <c r="AC28" i="4"/>
  <c r="AD28" i="4" s="1"/>
  <c r="AP28" i="4"/>
  <c r="AC41" i="4"/>
  <c r="AD41" i="4" s="1"/>
  <c r="AP78" i="4"/>
  <c r="AC33" i="4"/>
  <c r="AD33" i="4" s="1"/>
  <c r="AP41" i="4"/>
  <c r="AQ33" i="4"/>
  <c r="AK26" i="4"/>
  <c r="AL26" i="4" s="1"/>
  <c r="AO26" i="4" s="1"/>
  <c r="AC48" i="4"/>
  <c r="AD48" i="4" s="1"/>
  <c r="AP36" i="4"/>
  <c r="AQ48" i="4"/>
  <c r="AC31" i="4"/>
  <c r="AD31" i="4" s="1"/>
  <c r="AP31" i="4"/>
  <c r="BK187" i="5"/>
  <c r="AQ49" i="4"/>
  <c r="AC46" i="4"/>
  <c r="AD46" i="4" s="1"/>
  <c r="AQ19" i="4"/>
  <c r="BJ280" i="5"/>
  <c r="AC19" i="4"/>
  <c r="AD19" i="4" s="1"/>
  <c r="BK474" i="5"/>
  <c r="AC152" i="4"/>
  <c r="AD152" i="4" s="1"/>
  <c r="AC44" i="4"/>
  <c r="AD44" i="4" s="1"/>
  <c r="AQ152" i="4"/>
  <c r="AP44" i="4"/>
  <c r="AP29" i="4"/>
  <c r="BJ97" i="5"/>
  <c r="AF105" i="4"/>
  <c r="AG105" i="4" s="1"/>
  <c r="AI105" i="4" s="1"/>
  <c r="AK50" i="4"/>
  <c r="AL50" i="4" s="1"/>
  <c r="AO50" i="4" s="1"/>
  <c r="BK120" i="5"/>
  <c r="BJ130" i="5"/>
  <c r="BJ359" i="5"/>
  <c r="BK179" i="5"/>
  <c r="AK45" i="4"/>
  <c r="AL45" i="4" s="1"/>
  <c r="AO45" i="4" s="1"/>
  <c r="BK314" i="5"/>
  <c r="AF59" i="4"/>
  <c r="AG59" i="4" s="1"/>
  <c r="AI59" i="4" s="1"/>
  <c r="X59" i="4"/>
  <c r="AK59" i="4" s="1"/>
  <c r="AL59" i="4" s="1"/>
  <c r="AC110" i="4"/>
  <c r="AD110" i="4" s="1"/>
  <c r="AP110" i="4"/>
  <c r="AN62" i="4"/>
  <c r="X62" i="4"/>
  <c r="AJ62" i="4" s="1"/>
  <c r="AN61" i="4"/>
  <c r="X61" i="4"/>
  <c r="AN54" i="4"/>
  <c r="X54" i="4"/>
  <c r="AA42" i="4"/>
  <c r="AN117" i="4"/>
  <c r="AO117" i="4" s="1"/>
  <c r="AN65" i="4"/>
  <c r="X65" i="4"/>
  <c r="AJ65" i="4" s="1"/>
  <c r="AN55" i="4"/>
  <c r="X55" i="4"/>
  <c r="AJ55" i="4" s="1"/>
  <c r="AA62" i="4"/>
  <c r="AP62" i="4" s="1"/>
  <c r="AA40" i="4"/>
  <c r="AA64" i="4"/>
  <c r="BK225" i="5"/>
  <c r="X63" i="4"/>
  <c r="AQ101" i="4"/>
  <c r="AQ37" i="4"/>
  <c r="AN60" i="4"/>
  <c r="X60" i="4"/>
  <c r="AN57" i="4"/>
  <c r="X57" i="4"/>
  <c r="AK57" i="4" s="1"/>
  <c r="AL57" i="4" s="1"/>
  <c r="AA45" i="4"/>
  <c r="AK40" i="4"/>
  <c r="AL40" i="4" s="1"/>
  <c r="AO40" i="4" s="1"/>
  <c r="AA50" i="4"/>
  <c r="AN114" i="4"/>
  <c r="AO114" i="4" s="1"/>
  <c r="AC34" i="4"/>
  <c r="AD34" i="4" s="1"/>
  <c r="BJ423" i="5"/>
  <c r="AP34" i="4"/>
  <c r="AC78" i="4"/>
  <c r="AD78" i="4" s="1"/>
  <c r="AA32" i="4"/>
  <c r="AF140" i="4"/>
  <c r="AG140" i="4" s="1"/>
  <c r="AI140" i="4" s="1"/>
  <c r="AN140" i="4"/>
  <c r="AO140" i="4" s="1"/>
  <c r="AC21" i="4"/>
  <c r="AD21" i="4" s="1"/>
  <c r="AQ108" i="4"/>
  <c r="AP21" i="4"/>
  <c r="BK116" i="5"/>
  <c r="AF55" i="4"/>
  <c r="AG55" i="4" s="1"/>
  <c r="AI55" i="4" s="1"/>
  <c r="AF85" i="4"/>
  <c r="AG85" i="4" s="1"/>
  <c r="AI85" i="4" s="1"/>
  <c r="AC75" i="4"/>
  <c r="AD75" i="4" s="1"/>
  <c r="AQ75" i="4"/>
  <c r="AA26" i="4"/>
  <c r="AF114" i="4"/>
  <c r="AG114" i="4" s="1"/>
  <c r="AI114" i="4" s="1"/>
  <c r="BK539" i="5"/>
  <c r="BK90" i="5"/>
  <c r="BJ377" i="5"/>
  <c r="AC85" i="4"/>
  <c r="AD85" i="4" s="1"/>
  <c r="AQ128" i="4"/>
  <c r="BK461" i="5"/>
  <c r="AN69" i="4"/>
  <c r="AO69" i="4" s="1"/>
  <c r="AC101" i="4"/>
  <c r="AD101" i="4" s="1"/>
  <c r="AN105" i="4"/>
  <c r="AO105" i="4" s="1"/>
  <c r="BJ288" i="5"/>
  <c r="AP151" i="4"/>
  <c r="BK72" i="5"/>
  <c r="AF54" i="4"/>
  <c r="AG54" i="4" s="1"/>
  <c r="AI54" i="4" s="1"/>
  <c r="AQ140" i="4"/>
  <c r="AP82" i="4"/>
  <c r="AC142" i="4"/>
  <c r="AD142" i="4" s="1"/>
  <c r="AQ142" i="4"/>
  <c r="AP128" i="4"/>
  <c r="AP8" i="4"/>
  <c r="AC151" i="4"/>
  <c r="AD151" i="4" s="1"/>
  <c r="AK90" i="4"/>
  <c r="AL90" i="4" s="1"/>
  <c r="AP113" i="4"/>
  <c r="AQ77" i="4"/>
  <c r="AF106" i="4"/>
  <c r="AG106" i="4" s="1"/>
  <c r="AI106" i="4" s="1"/>
  <c r="AK85" i="4"/>
  <c r="AL85" i="4" s="1"/>
  <c r="AO85" i="4" s="1"/>
  <c r="AK106" i="4"/>
  <c r="AL106" i="4" s="1"/>
  <c r="AO106" i="4" s="1"/>
  <c r="AC155" i="4"/>
  <c r="AD155" i="4" s="1"/>
  <c r="AQ155" i="4"/>
  <c r="AF134" i="4"/>
  <c r="AG134" i="4" s="1"/>
  <c r="AI134" i="4" s="1"/>
  <c r="AN118" i="4"/>
  <c r="AO118" i="4" s="1"/>
  <c r="AN134" i="4"/>
  <c r="AO134" i="4" s="1"/>
  <c r="AP105" i="4"/>
  <c r="AC89" i="4"/>
  <c r="AD89" i="4" s="1"/>
  <c r="AN90" i="4"/>
  <c r="AC105" i="4"/>
  <c r="AD105" i="4" s="1"/>
  <c r="AC13" i="4"/>
  <c r="AD13" i="4" s="1"/>
  <c r="AP77" i="4"/>
  <c r="AP11" i="4"/>
  <c r="AP89" i="4"/>
  <c r="AC81" i="4"/>
  <c r="AD81" i="4" s="1"/>
  <c r="AC117" i="4"/>
  <c r="AD117" i="4" s="1"/>
  <c r="AF118" i="4"/>
  <c r="AG118" i="4" s="1"/>
  <c r="AI118" i="4" s="1"/>
  <c r="AC95" i="4"/>
  <c r="AD95" i="4" s="1"/>
  <c r="AQ81" i="4"/>
  <c r="AP117" i="4"/>
  <c r="AP95" i="4"/>
  <c r="AC11" i="4"/>
  <c r="AD11" i="4" s="1"/>
  <c r="AC134" i="4"/>
  <c r="AD134" i="4" s="1"/>
  <c r="AQ134" i="4"/>
  <c r="AC148" i="4"/>
  <c r="AD148" i="4" s="1"/>
  <c r="AQ148" i="4"/>
  <c r="AF63" i="4"/>
  <c r="AG63" i="4" s="1"/>
  <c r="AI63" i="4" s="1"/>
  <c r="AN116" i="4"/>
  <c r="AO116" i="4" s="1"/>
  <c r="AF117" i="4"/>
  <c r="AG117" i="4" s="1"/>
  <c r="AI117" i="4" s="1"/>
  <c r="AP129" i="4"/>
  <c r="AQ129" i="4"/>
  <c r="AF57" i="4"/>
  <c r="AG57" i="4" s="1"/>
  <c r="AI57" i="4" s="1"/>
  <c r="AC149" i="4"/>
  <c r="AD149" i="4" s="1"/>
  <c r="AP149" i="4"/>
  <c r="AC82" i="4"/>
  <c r="AD82" i="4" s="1"/>
  <c r="AP90" i="4"/>
  <c r="AK141" i="4"/>
  <c r="AL141" i="4" s="1"/>
  <c r="AO141" i="4" s="1"/>
  <c r="AP140" i="4"/>
  <c r="AP106" i="4"/>
  <c r="AF149" i="4"/>
  <c r="AG149" i="4" s="1"/>
  <c r="AI149" i="4" s="1"/>
  <c r="AQ13" i="4"/>
  <c r="AK129" i="4"/>
  <c r="AL129" i="4" s="1"/>
  <c r="AO129" i="4" s="1"/>
  <c r="AF133" i="4"/>
  <c r="AG133" i="4" s="1"/>
  <c r="AI133" i="4" s="1"/>
  <c r="AK76" i="4"/>
  <c r="AL76" i="4" s="1"/>
  <c r="AQ106" i="4"/>
  <c r="AN149" i="4"/>
  <c r="AO149" i="4" s="1"/>
  <c r="AF129" i="4"/>
  <c r="AG129" i="4" s="1"/>
  <c r="AI129" i="4" s="1"/>
  <c r="AP66" i="4"/>
  <c r="AQ74" i="4"/>
  <c r="AK133" i="4"/>
  <c r="AL133" i="4" s="1"/>
  <c r="AO133" i="4" s="1"/>
  <c r="AC122" i="4"/>
  <c r="AD122" i="4" s="1"/>
  <c r="AP122" i="4"/>
  <c r="AC141" i="4"/>
  <c r="AD141" i="4" s="1"/>
  <c r="AQ10" i="4"/>
  <c r="AQ90" i="4"/>
  <c r="AF141" i="4"/>
  <c r="AG141" i="4" s="1"/>
  <c r="AI141" i="4" s="1"/>
  <c r="AP141" i="4"/>
  <c r="AK136" i="4"/>
  <c r="AL136" i="4" s="1"/>
  <c r="AO136" i="4" s="1"/>
  <c r="AC79" i="4"/>
  <c r="AD79" i="4" s="1"/>
  <c r="AF69" i="4"/>
  <c r="AG69" i="4" s="1"/>
  <c r="AI69" i="4" s="1"/>
  <c r="AF61" i="4"/>
  <c r="AG61" i="4" s="1"/>
  <c r="AI61" i="4" s="1"/>
  <c r="AK110" i="4"/>
  <c r="AL110" i="4" s="1"/>
  <c r="AO110" i="4" s="1"/>
  <c r="AN112" i="4"/>
  <c r="AO112" i="4" s="1"/>
  <c r="AF135" i="4"/>
  <c r="AG135" i="4" s="1"/>
  <c r="AI135" i="4" s="1"/>
  <c r="AP108" i="4"/>
  <c r="AF113" i="4"/>
  <c r="AG113" i="4" s="1"/>
  <c r="AI113" i="4" s="1"/>
  <c r="AC69" i="4"/>
  <c r="AD69" i="4" s="1"/>
  <c r="AK135" i="4"/>
  <c r="AL135" i="4" s="1"/>
  <c r="AO135" i="4" s="1"/>
  <c r="AN113" i="4"/>
  <c r="AO113" i="4" s="1"/>
  <c r="AC98" i="4"/>
  <c r="AD98" i="4" s="1"/>
  <c r="AF122" i="4"/>
  <c r="AG122" i="4" s="1"/>
  <c r="AI122" i="4" s="1"/>
  <c r="AP69" i="4"/>
  <c r="AQ98" i="4"/>
  <c r="AQ133" i="4"/>
  <c r="AK122" i="4"/>
  <c r="AL122" i="4" s="1"/>
  <c r="AO122" i="4" s="1"/>
  <c r="AC94" i="4"/>
  <c r="AD94" i="4" s="1"/>
  <c r="AP144" i="4"/>
  <c r="AF74" i="4"/>
  <c r="AG74" i="4" s="1"/>
  <c r="AI74" i="4" s="1"/>
  <c r="AP94" i="4"/>
  <c r="AQ144" i="4"/>
  <c r="AK101" i="4"/>
  <c r="AL101" i="4" s="1"/>
  <c r="AF111" i="4"/>
  <c r="AG111" i="4" s="1"/>
  <c r="AI111" i="4" s="1"/>
  <c r="AK74" i="4"/>
  <c r="AL74" i="4" s="1"/>
  <c r="AO74" i="4" s="1"/>
  <c r="AN101" i="4"/>
  <c r="AN111" i="4"/>
  <c r="AO111" i="4" s="1"/>
  <c r="AC133" i="4"/>
  <c r="AD133" i="4" s="1"/>
  <c r="AQ109" i="4"/>
  <c r="AP9" i="4"/>
  <c r="AP112" i="4"/>
  <c r="AF110" i="4"/>
  <c r="AG110" i="4" s="1"/>
  <c r="AI110" i="4" s="1"/>
  <c r="AC109" i="4"/>
  <c r="AD109" i="4" s="1"/>
  <c r="AF112" i="4"/>
  <c r="AG112" i="4" s="1"/>
  <c r="AI112" i="4" s="1"/>
  <c r="AP67" i="4"/>
  <c r="AK124" i="4"/>
  <c r="AL124" i="4" s="1"/>
  <c r="AQ112" i="4"/>
  <c r="AC12" i="4"/>
  <c r="AD12" i="4" s="1"/>
  <c r="AC137" i="4"/>
  <c r="AD137" i="4" s="1"/>
  <c r="AQ137" i="4"/>
  <c r="AF152" i="4"/>
  <c r="AG152" i="4" s="1"/>
  <c r="AI152" i="4" s="1"/>
  <c r="AK94" i="4"/>
  <c r="AL94" i="4" s="1"/>
  <c r="AN89" i="4"/>
  <c r="AO89" i="4" s="1"/>
  <c r="AK152" i="4"/>
  <c r="AL152" i="4" s="1"/>
  <c r="AO152" i="4" s="1"/>
  <c r="AN94" i="4"/>
  <c r="AQ67" i="4"/>
  <c r="AC18" i="4"/>
  <c r="AD18" i="4" s="1"/>
  <c r="AC74" i="4"/>
  <c r="AD74" i="4" s="1"/>
  <c r="AF93" i="4"/>
  <c r="AG93" i="4" s="1"/>
  <c r="AI93" i="4" s="1"/>
  <c r="AP14" i="4"/>
  <c r="AK93" i="4"/>
  <c r="AL93" i="4" s="1"/>
  <c r="AO93" i="4" s="1"/>
  <c r="AC14" i="4"/>
  <c r="AD14" i="4" s="1"/>
  <c r="AQ8" i="4"/>
  <c r="AQ18" i="4"/>
  <c r="AQ24" i="4"/>
  <c r="AF136" i="4"/>
  <c r="AG136" i="4" s="1"/>
  <c r="AI136" i="4" s="1"/>
  <c r="AF116" i="4"/>
  <c r="AG116" i="4" s="1"/>
  <c r="AI116" i="4" s="1"/>
  <c r="AC93" i="4"/>
  <c r="AD93" i="4" s="1"/>
  <c r="AQ22" i="4"/>
  <c r="AQ136" i="4"/>
  <c r="AF60" i="4"/>
  <c r="AG60" i="4" s="1"/>
  <c r="AI60" i="4" s="1"/>
  <c r="AN59" i="4"/>
  <c r="AP93" i="4"/>
  <c r="AQ79" i="4"/>
  <c r="AP22" i="4"/>
  <c r="AP136" i="4"/>
  <c r="AC25" i="4"/>
  <c r="AD25" i="4" s="1"/>
  <c r="AK95" i="4"/>
  <c r="AL95" i="4" s="1"/>
  <c r="AO95" i="4" s="1"/>
  <c r="AQ25" i="4"/>
  <c r="AF95" i="4"/>
  <c r="AG95" i="4" s="1"/>
  <c r="AI95" i="4" s="1"/>
  <c r="AF143" i="4"/>
  <c r="AG143" i="4" s="1"/>
  <c r="AI143" i="4" s="1"/>
  <c r="AC24" i="4"/>
  <c r="AD24" i="4" s="1"/>
  <c r="AK143" i="4"/>
  <c r="AL143" i="4" s="1"/>
  <c r="AO143" i="4" s="1"/>
  <c r="AP135" i="4"/>
  <c r="AQ135" i="4"/>
  <c r="AC113" i="4"/>
  <c r="AD113" i="4" s="1"/>
  <c r="AC66" i="4"/>
  <c r="AD66" i="4" s="1"/>
  <c r="AP96" i="4"/>
  <c r="AK137" i="4"/>
  <c r="AL137" i="4" s="1"/>
  <c r="AF97" i="4"/>
  <c r="AG97" i="4" s="1"/>
  <c r="AI97" i="4" s="1"/>
  <c r="AQ16" i="4"/>
  <c r="AF144" i="4"/>
  <c r="AG144" i="4" s="1"/>
  <c r="AI144" i="4" s="1"/>
  <c r="AC11" i="5"/>
  <c r="AE11" i="5" s="1"/>
  <c r="AN97" i="4"/>
  <c r="AO97" i="4" s="1"/>
  <c r="AC92" i="4"/>
  <c r="AD92" i="4" s="1"/>
  <c r="AN82" i="4"/>
  <c r="AO82" i="4" s="1"/>
  <c r="AP7" i="4"/>
  <c r="AQ7" i="4"/>
  <c r="AC23" i="4"/>
  <c r="AD23" i="4" s="1"/>
  <c r="AN144" i="4"/>
  <c r="AO144" i="4" s="1"/>
  <c r="AP92" i="4"/>
  <c r="AF65" i="4"/>
  <c r="AG65" i="4" s="1"/>
  <c r="AI65" i="4" s="1"/>
  <c r="AF67" i="4"/>
  <c r="AG67" i="4" s="1"/>
  <c r="AI67" i="4" s="1"/>
  <c r="AF77" i="4"/>
  <c r="AG77" i="4" s="1"/>
  <c r="AI77" i="4" s="1"/>
  <c r="AQ23" i="4"/>
  <c r="AC111" i="4"/>
  <c r="AD111" i="4" s="1"/>
  <c r="AN67" i="4"/>
  <c r="AO67" i="4" s="1"/>
  <c r="AK77" i="4"/>
  <c r="AL77" i="4" s="1"/>
  <c r="AO77" i="4" s="1"/>
  <c r="AF128" i="4"/>
  <c r="AG128" i="4" s="1"/>
  <c r="AI128" i="4" s="1"/>
  <c r="AK81" i="4"/>
  <c r="AL81" i="4" s="1"/>
  <c r="AO81" i="4" s="1"/>
  <c r="AQ111" i="4"/>
  <c r="AN128" i="4"/>
  <c r="AO128" i="4" s="1"/>
  <c r="AF81" i="4"/>
  <c r="AG81" i="4" s="1"/>
  <c r="AI81" i="4" s="1"/>
  <c r="AC156" i="4"/>
  <c r="AD156" i="4" s="1"/>
  <c r="AF98" i="4"/>
  <c r="AG98" i="4" s="1"/>
  <c r="AI98" i="4" s="1"/>
  <c r="AF79" i="4"/>
  <c r="AG79" i="4" s="1"/>
  <c r="AI79" i="4" s="1"/>
  <c r="AP156" i="4"/>
  <c r="AP16" i="4"/>
  <c r="AF82" i="4"/>
  <c r="AG82" i="4" s="1"/>
  <c r="AI82" i="4" s="1"/>
  <c r="AN98" i="4"/>
  <c r="AO98" i="4" s="1"/>
  <c r="AK79" i="4"/>
  <c r="AL79" i="4" s="1"/>
  <c r="AO79" i="4" s="1"/>
  <c r="AO18" i="4"/>
  <c r="AC102" i="4"/>
  <c r="AD102" i="4" s="1"/>
  <c r="AP143" i="4"/>
  <c r="AN137" i="4"/>
  <c r="AP102" i="4"/>
  <c r="AC143" i="4"/>
  <c r="AD143" i="4" s="1"/>
  <c r="AN66" i="4"/>
  <c r="AN121" i="4"/>
  <c r="AO121" i="4" s="1"/>
  <c r="AF102" i="4"/>
  <c r="AG102" i="4" s="1"/>
  <c r="AI102" i="4" s="1"/>
  <c r="AK66" i="4"/>
  <c r="AL66" i="4" s="1"/>
  <c r="AF121" i="4"/>
  <c r="AG121" i="4" s="1"/>
  <c r="AI121" i="4" s="1"/>
  <c r="AP118" i="4"/>
  <c r="AP20" i="4"/>
  <c r="AK102" i="4"/>
  <c r="AL102" i="4" s="1"/>
  <c r="AO102" i="4" s="1"/>
  <c r="AC15" i="4"/>
  <c r="AD15" i="4" s="1"/>
  <c r="AC118" i="4"/>
  <c r="AD118" i="4" s="1"/>
  <c r="AC20" i="4"/>
  <c r="AD20" i="4" s="1"/>
  <c r="AP15" i="4"/>
  <c r="AC96" i="4"/>
  <c r="AD96" i="4" s="1"/>
  <c r="AP116" i="4"/>
  <c r="AQ9" i="4"/>
  <c r="AP12" i="4"/>
  <c r="AN124" i="4"/>
  <c r="AQ116" i="4"/>
  <c r="AF96" i="4"/>
  <c r="AG96" i="4" s="1"/>
  <c r="AI96" i="4" s="1"/>
  <c r="AC121" i="4"/>
  <c r="AD121" i="4" s="1"/>
  <c r="AK96" i="4"/>
  <c r="AL96" i="4" s="1"/>
  <c r="AO96" i="4" s="1"/>
  <c r="AQ121" i="4"/>
  <c r="AO107" i="4"/>
  <c r="AU107" i="4" s="1"/>
  <c r="AW107" i="4" s="1"/>
  <c r="AF125" i="4"/>
  <c r="AG125" i="4" s="1"/>
  <c r="AI125" i="4" s="1"/>
  <c r="AF89" i="4"/>
  <c r="AG89" i="4" s="1"/>
  <c r="AI89" i="4" s="1"/>
  <c r="AK125" i="4"/>
  <c r="AL125" i="4" s="1"/>
  <c r="AO125" i="4" s="1"/>
  <c r="AO150" i="4"/>
  <c r="AU150" i="4" s="1"/>
  <c r="AW150" i="4" s="1"/>
  <c r="AO34" i="4"/>
  <c r="AO157" i="4"/>
  <c r="AU157" i="4" s="1"/>
  <c r="AW157" i="4" s="1"/>
  <c r="AO22" i="4"/>
  <c r="AO48" i="4"/>
  <c r="AO132" i="4"/>
  <c r="AU132" i="4" s="1"/>
  <c r="AW132" i="4" s="1"/>
  <c r="AO7" i="4"/>
  <c r="AO19" i="4"/>
  <c r="AO11" i="4"/>
  <c r="AO103" i="4"/>
  <c r="AU103" i="4" s="1"/>
  <c r="AW103" i="4" s="1"/>
  <c r="AO87" i="4"/>
  <c r="AU87" i="4" s="1"/>
  <c r="AW87" i="4" s="1"/>
  <c r="AO91" i="4"/>
  <c r="AU91" i="4" s="1"/>
  <c r="AW91" i="4" s="1"/>
  <c r="AO138" i="4"/>
  <c r="AU138" i="4" s="1"/>
  <c r="AW138" i="4" s="1"/>
  <c r="AO80" i="4"/>
  <c r="AU80" i="4" s="1"/>
  <c r="AW80" i="4" s="1"/>
  <c r="BF418" i="5"/>
  <c r="BG418" i="5" s="1"/>
  <c r="BL418" i="5" s="1"/>
  <c r="AO16" i="4"/>
  <c r="AO9" i="4"/>
  <c r="AO53" i="4"/>
  <c r="AO21" i="4"/>
  <c r="AE418" i="5"/>
  <c r="AO72" i="4"/>
  <c r="AU72" i="4" s="1"/>
  <c r="AW72" i="4" s="1"/>
  <c r="AO38" i="4"/>
  <c r="AU38" i="4" s="1"/>
  <c r="AW38" i="4" s="1"/>
  <c r="AO52" i="4"/>
  <c r="AO147" i="4"/>
  <c r="AU147" i="4" s="1"/>
  <c r="AW147" i="4" s="1"/>
  <c r="AO88" i="4"/>
  <c r="AU88" i="4" s="1"/>
  <c r="AW88" i="4" s="1"/>
  <c r="AO15" i="4"/>
  <c r="AO8" i="4"/>
  <c r="AO24" i="4"/>
  <c r="AO68" i="4"/>
  <c r="AU68" i="4" s="1"/>
  <c r="AW68" i="4" s="1"/>
  <c r="AO31" i="4"/>
  <c r="AO13" i="4"/>
  <c r="AO10" i="4"/>
  <c r="AO27" i="4"/>
  <c r="AO20" i="4"/>
  <c r="AO84" i="4"/>
  <c r="AU84" i="4" s="1"/>
  <c r="AW84" i="4" s="1"/>
  <c r="AO37" i="4"/>
  <c r="AO12" i="4"/>
  <c r="AO25" i="4"/>
  <c r="AD559" i="5"/>
  <c r="BF559" i="5"/>
  <c r="AE559" i="5"/>
  <c r="AD27" i="5"/>
  <c r="BF27" i="5"/>
  <c r="AE27" i="5"/>
  <c r="AD69" i="5"/>
  <c r="BF69" i="5"/>
  <c r="AE69" i="5"/>
  <c r="AE384" i="5"/>
  <c r="AD384" i="5"/>
  <c r="BF384" i="5"/>
  <c r="AE101" i="5"/>
  <c r="AD101" i="5"/>
  <c r="BF101" i="5"/>
  <c r="BF391" i="5"/>
  <c r="AE391" i="5"/>
  <c r="AD391" i="5"/>
  <c r="AE409" i="5"/>
  <c r="AD409" i="5"/>
  <c r="BF409" i="5"/>
  <c r="AD385" i="5"/>
  <c r="AE385" i="5"/>
  <c r="BF385" i="5"/>
  <c r="AE197" i="5"/>
  <c r="AD197" i="5"/>
  <c r="BF197" i="5"/>
  <c r="AE183" i="5"/>
  <c r="AD183" i="5"/>
  <c r="BF183" i="5"/>
  <c r="AE478" i="5"/>
  <c r="BF478" i="5"/>
  <c r="AD478" i="5"/>
  <c r="AE368" i="5"/>
  <c r="AD368" i="5"/>
  <c r="BF368" i="5"/>
  <c r="AE436" i="5"/>
  <c r="AD436" i="5"/>
  <c r="BF436" i="5"/>
  <c r="AD26" i="5"/>
  <c r="AE26" i="5"/>
  <c r="BF26" i="5"/>
  <c r="BF52" i="5"/>
  <c r="AE52" i="5"/>
  <c r="AD52" i="5"/>
  <c r="AD361" i="5"/>
  <c r="BF361" i="5"/>
  <c r="AE361" i="5"/>
  <c r="AD103" i="5"/>
  <c r="AE103" i="5"/>
  <c r="BF103" i="5"/>
  <c r="AD140" i="5"/>
  <c r="BF140" i="5"/>
  <c r="AE140" i="5"/>
  <c r="AE206" i="5"/>
  <c r="BF206" i="5"/>
  <c r="AD206" i="5"/>
  <c r="AE261" i="5"/>
  <c r="AD261" i="5"/>
  <c r="BF261" i="5"/>
  <c r="BF142" i="5"/>
  <c r="AD142" i="5"/>
  <c r="AE142" i="5"/>
  <c r="BF50" i="5"/>
  <c r="AE50" i="5"/>
  <c r="AD50" i="5"/>
  <c r="AE459" i="5"/>
  <c r="BF459" i="5"/>
  <c r="AD459" i="5"/>
  <c r="BF96" i="5"/>
  <c r="AD96" i="5"/>
  <c r="AE96" i="5"/>
  <c r="BK260" i="5"/>
  <c r="BJ260" i="5"/>
  <c r="BK252" i="5"/>
  <c r="BJ252" i="5"/>
  <c r="AD297" i="5"/>
  <c r="AE297" i="5"/>
  <c r="BF297" i="5"/>
  <c r="AD97" i="5"/>
  <c r="AE97" i="5"/>
  <c r="BF97" i="5"/>
  <c r="AD358" i="5"/>
  <c r="AE358" i="5"/>
  <c r="BF358" i="5"/>
  <c r="AD260" i="5"/>
  <c r="AE260" i="5"/>
  <c r="BF260" i="5"/>
  <c r="AD38" i="5"/>
  <c r="BF38" i="5"/>
  <c r="AE38" i="5"/>
  <c r="BF141" i="5"/>
  <c r="AE141" i="5"/>
  <c r="AD141" i="5"/>
  <c r="AD45" i="5"/>
  <c r="BF45" i="5"/>
  <c r="AE45" i="5"/>
  <c r="AD265" i="5"/>
  <c r="AE265" i="5"/>
  <c r="BF265" i="5"/>
  <c r="AD531" i="5"/>
  <c r="BF531" i="5"/>
  <c r="AE531" i="5"/>
  <c r="BF513" i="5"/>
  <c r="AD513" i="5"/>
  <c r="AE513" i="5"/>
  <c r="AE134" i="5"/>
  <c r="BF134" i="5"/>
  <c r="AD134" i="5"/>
  <c r="BF104" i="5"/>
  <c r="AD104" i="5"/>
  <c r="AE104" i="5"/>
  <c r="AE479" i="5"/>
  <c r="AD479" i="5"/>
  <c r="BF479" i="5"/>
  <c r="BF122" i="5"/>
  <c r="AD122" i="5"/>
  <c r="AE122" i="5"/>
  <c r="BF383" i="5"/>
  <c r="AE383" i="5"/>
  <c r="AD383" i="5"/>
  <c r="AD519" i="5"/>
  <c r="AE519" i="5"/>
  <c r="BF519" i="5"/>
  <c r="AD470" i="5"/>
  <c r="AE470" i="5"/>
  <c r="BF470" i="5"/>
  <c r="BF139" i="5"/>
  <c r="AE139" i="5"/>
  <c r="AD139" i="5"/>
  <c r="AD208" i="5"/>
  <c r="BF208" i="5"/>
  <c r="AE208" i="5"/>
  <c r="AE308" i="5"/>
  <c r="AD308" i="5"/>
  <c r="BF308" i="5"/>
  <c r="BF510" i="5"/>
  <c r="AD510" i="5"/>
  <c r="AE510" i="5"/>
  <c r="AD552" i="5"/>
  <c r="AE552" i="5"/>
  <c r="BF552" i="5"/>
  <c r="BF182" i="5"/>
  <c r="AD182" i="5"/>
  <c r="AE182" i="5"/>
  <c r="AE20" i="5"/>
  <c r="BF20" i="5"/>
  <c r="AD20" i="5"/>
  <c r="AE516" i="5"/>
  <c r="AD516" i="5"/>
  <c r="BF516" i="5"/>
  <c r="AD205" i="5"/>
  <c r="BF205" i="5"/>
  <c r="AE205" i="5"/>
  <c r="AE106" i="5"/>
  <c r="BF106" i="5"/>
  <c r="AD106" i="5"/>
  <c r="AE318" i="5"/>
  <c r="BF318" i="5"/>
  <c r="AD318" i="5"/>
  <c r="AE334" i="5"/>
  <c r="BF334" i="5"/>
  <c r="AD334" i="5"/>
  <c r="AE157" i="5"/>
  <c r="BF157" i="5"/>
  <c r="AD157" i="5"/>
  <c r="AE503" i="5"/>
  <c r="BF503" i="5"/>
  <c r="AD503" i="5"/>
  <c r="AD232" i="5"/>
  <c r="BF232" i="5"/>
  <c r="AE232" i="5"/>
  <c r="BF345" i="5"/>
  <c r="AE345" i="5"/>
  <c r="AD345" i="5"/>
  <c r="AD541" i="5"/>
  <c r="BF541" i="5"/>
  <c r="AE541" i="5"/>
  <c r="AE21" i="5"/>
  <c r="AD21" i="5"/>
  <c r="BF21" i="5"/>
  <c r="AE210" i="5"/>
  <c r="BF210" i="5"/>
  <c r="AD210" i="5"/>
  <c r="AD437" i="5"/>
  <c r="BF437" i="5"/>
  <c r="AE437" i="5"/>
  <c r="BF372" i="5"/>
  <c r="AD372" i="5"/>
  <c r="AE372" i="5"/>
  <c r="AE549" i="5"/>
  <c r="BF549" i="5"/>
  <c r="AD549" i="5"/>
  <c r="AE150" i="5"/>
  <c r="AD150" i="5"/>
  <c r="BF150" i="5"/>
  <c r="AD279" i="5"/>
  <c r="BF279" i="5"/>
  <c r="AE279" i="5"/>
  <c r="AE207" i="5"/>
  <c r="AD207" i="5"/>
  <c r="BF207" i="5"/>
  <c r="BF128" i="5"/>
  <c r="AE128" i="5"/>
  <c r="AD128" i="5"/>
  <c r="AE544" i="5"/>
  <c r="AD544" i="5"/>
  <c r="BF544" i="5"/>
  <c r="AD287" i="5"/>
  <c r="BF287" i="5"/>
  <c r="AE287" i="5"/>
  <c r="AD432" i="5"/>
  <c r="AE432" i="5"/>
  <c r="BF432" i="5"/>
  <c r="AD253" i="5"/>
  <c r="BF253" i="5"/>
  <c r="AE253" i="5"/>
  <c r="AE295" i="5"/>
  <c r="AD295" i="5"/>
  <c r="BF295" i="5"/>
  <c r="AD452" i="5"/>
  <c r="BF452" i="5"/>
  <c r="AE452" i="5"/>
  <c r="AE512" i="5"/>
  <c r="BF512" i="5"/>
  <c r="AD512" i="5"/>
  <c r="AD53" i="5"/>
  <c r="AE53" i="5"/>
  <c r="BF53" i="5"/>
  <c r="AE388" i="5"/>
  <c r="AD388" i="5"/>
  <c r="BF388" i="5"/>
  <c r="AE288" i="5"/>
  <c r="AD288" i="5"/>
  <c r="BF288" i="5"/>
  <c r="AE351" i="5"/>
  <c r="AD351" i="5"/>
  <c r="BF351" i="5"/>
  <c r="AE547" i="5"/>
  <c r="AD547" i="5"/>
  <c r="BF547" i="5"/>
  <c r="AE493" i="5"/>
  <c r="AD493" i="5"/>
  <c r="BF493" i="5"/>
  <c r="BF428" i="5"/>
  <c r="AD428" i="5"/>
  <c r="AE428" i="5"/>
  <c r="BF48" i="5"/>
  <c r="AD48" i="5"/>
  <c r="AE48" i="5"/>
  <c r="AE117" i="5"/>
  <c r="AD117" i="5"/>
  <c r="BF117" i="5"/>
  <c r="AE173" i="5"/>
  <c r="BF173" i="5"/>
  <c r="AD173" i="5"/>
  <c r="AD228" i="5"/>
  <c r="AE228" i="5"/>
  <c r="BF228" i="5"/>
  <c r="AE94" i="5"/>
  <c r="AD94" i="5"/>
  <c r="BF94" i="5"/>
  <c r="AD456" i="5"/>
  <c r="BF456" i="5"/>
  <c r="AE456" i="5"/>
  <c r="AD413" i="5"/>
  <c r="AE413" i="5"/>
  <c r="BF413" i="5"/>
  <c r="AD92" i="5"/>
  <c r="AE92" i="5"/>
  <c r="BF92" i="5"/>
  <c r="BK411" i="5"/>
  <c r="BJ411" i="5"/>
  <c r="AD44" i="5"/>
  <c r="BF44" i="5"/>
  <c r="AE44" i="5"/>
  <c r="AD431" i="5"/>
  <c r="AE431" i="5"/>
  <c r="BF431" i="5"/>
  <c r="AE144" i="5"/>
  <c r="AD144" i="5"/>
  <c r="BF144" i="5"/>
  <c r="BF88" i="5"/>
  <c r="AE88" i="5"/>
  <c r="AD88" i="5"/>
  <c r="AD8" i="5"/>
  <c r="AE8" i="5"/>
  <c r="BF8" i="5"/>
  <c r="BF254" i="5"/>
  <c r="AE254" i="5"/>
  <c r="AD254" i="5"/>
  <c r="AD370" i="5"/>
  <c r="AE370" i="5"/>
  <c r="BF370" i="5"/>
  <c r="AD245" i="5"/>
  <c r="BF245" i="5"/>
  <c r="AE245" i="5"/>
  <c r="AE243" i="5"/>
  <c r="BF243" i="5"/>
  <c r="AD243" i="5"/>
  <c r="BF429" i="5"/>
  <c r="AD429" i="5"/>
  <c r="AE429" i="5"/>
  <c r="AE482" i="5"/>
  <c r="BF482" i="5"/>
  <c r="AD482" i="5"/>
  <c r="AE185" i="5"/>
  <c r="BF185" i="5"/>
  <c r="AD185" i="5"/>
  <c r="AD112" i="5"/>
  <c r="AE112" i="5"/>
  <c r="BF112" i="5"/>
  <c r="AE538" i="5"/>
  <c r="BF538" i="5"/>
  <c r="AD538" i="5"/>
  <c r="AD231" i="5"/>
  <c r="BF231" i="5"/>
  <c r="AE231" i="5"/>
  <c r="AE477" i="5"/>
  <c r="AD477" i="5"/>
  <c r="BF477" i="5"/>
  <c r="AE526" i="5"/>
  <c r="AD526" i="5"/>
  <c r="BF526" i="5"/>
  <c r="AE290" i="5"/>
  <c r="AD290" i="5"/>
  <c r="BF290" i="5"/>
  <c r="AD168" i="5"/>
  <c r="BF168" i="5"/>
  <c r="AE168" i="5"/>
  <c r="AE252" i="5"/>
  <c r="BF252" i="5"/>
  <c r="AD252" i="5"/>
  <c r="AD426" i="5"/>
  <c r="BF426" i="5"/>
  <c r="AE426" i="5"/>
  <c r="AE491" i="5"/>
  <c r="AD491" i="5"/>
  <c r="BF491" i="5"/>
  <c r="BF342" i="5"/>
  <c r="AE342" i="5"/>
  <c r="AD342" i="5"/>
  <c r="AE321" i="5"/>
  <c r="AD321" i="5"/>
  <c r="BF321" i="5"/>
  <c r="BF481" i="5"/>
  <c r="AE481" i="5"/>
  <c r="AD481" i="5"/>
  <c r="AD54" i="5"/>
  <c r="BF54" i="5"/>
  <c r="AE54" i="5"/>
  <c r="AE219" i="5"/>
  <c r="AD219" i="5"/>
  <c r="BF219" i="5"/>
  <c r="AE317" i="5"/>
  <c r="BF317" i="5"/>
  <c r="AD317" i="5"/>
  <c r="AE163" i="5"/>
  <c r="BF163" i="5"/>
  <c r="AD163" i="5"/>
  <c r="AE200" i="5"/>
  <c r="AD200" i="5"/>
  <c r="BF200" i="5"/>
  <c r="AD250" i="5"/>
  <c r="BF250" i="5"/>
  <c r="AE250" i="5"/>
  <c r="AE392" i="5"/>
  <c r="AD392" i="5"/>
  <c r="BF392" i="5"/>
  <c r="BF188" i="5"/>
  <c r="AD188" i="5"/>
  <c r="AE188" i="5"/>
  <c r="AE60" i="5"/>
  <c r="AD60" i="5"/>
  <c r="BF60" i="5"/>
  <c r="AE35" i="5"/>
  <c r="AD35" i="5"/>
  <c r="BF35" i="5"/>
  <c r="BK485" i="5"/>
  <c r="BJ485" i="5"/>
  <c r="AO71" i="4"/>
  <c r="AU71" i="4" s="1"/>
  <c r="AW71" i="4" s="1"/>
  <c r="AE218" i="5"/>
  <c r="BF218" i="5"/>
  <c r="AD218" i="5"/>
  <c r="AD235" i="5"/>
  <c r="BF235" i="5"/>
  <c r="AE235" i="5"/>
  <c r="BK209" i="5"/>
  <c r="BJ209" i="5"/>
  <c r="AO23" i="4"/>
  <c r="BK497" i="5"/>
  <c r="BJ497" i="5"/>
  <c r="AE167" i="5"/>
  <c r="AD167" i="5"/>
  <c r="BF167" i="5"/>
  <c r="AO99" i="4"/>
  <c r="AU99" i="4" s="1"/>
  <c r="AW99" i="4" s="1"/>
  <c r="BJ84" i="5"/>
  <c r="BK84" i="5"/>
  <c r="AO146" i="4"/>
  <c r="AU146" i="4" s="1"/>
  <c r="AW146" i="4" s="1"/>
  <c r="BJ127" i="5"/>
  <c r="BK127" i="5"/>
  <c r="AO30" i="4"/>
  <c r="AB11" i="5"/>
  <c r="AA11" i="5"/>
  <c r="U11" i="5"/>
  <c r="V11" i="5"/>
  <c r="AH11" i="5"/>
  <c r="AI11" i="5"/>
  <c r="BK284" i="5"/>
  <c r="BJ284" i="5"/>
  <c r="BK419" i="5"/>
  <c r="BJ419" i="5"/>
  <c r="BJ148" i="5"/>
  <c r="BK148" i="5"/>
  <c r="AO17" i="4"/>
  <c r="AU17" i="4" s="1"/>
  <c r="AW17" i="4" s="1"/>
  <c r="AD348" i="5"/>
  <c r="BF348" i="5"/>
  <c r="AE348" i="5"/>
  <c r="AE299" i="5"/>
  <c r="BF299" i="5"/>
  <c r="AD299" i="5"/>
  <c r="BF447" i="5"/>
  <c r="AE447" i="5"/>
  <c r="AD447" i="5"/>
  <c r="AE364" i="5"/>
  <c r="AD364" i="5"/>
  <c r="BF364" i="5"/>
  <c r="AE172" i="5"/>
  <c r="BF172" i="5"/>
  <c r="AD172" i="5"/>
  <c r="AO35" i="4"/>
  <c r="AO47" i="4"/>
  <c r="AU47" i="4" s="1"/>
  <c r="AW47" i="4" s="1"/>
  <c r="AE256" i="5"/>
  <c r="BF256" i="5"/>
  <c r="AD256" i="5"/>
  <c r="BF77" i="5"/>
  <c r="AE77" i="5"/>
  <c r="AD77" i="5"/>
  <c r="AD514" i="5"/>
  <c r="AE514" i="5"/>
  <c r="BF514" i="5"/>
  <c r="AE242" i="5"/>
  <c r="BF242" i="5"/>
  <c r="AD242" i="5"/>
  <c r="AD504" i="5"/>
  <c r="BF504" i="5"/>
  <c r="AE504" i="5"/>
  <c r="BF115" i="5"/>
  <c r="AE115" i="5"/>
  <c r="AD115" i="5"/>
  <c r="AD521" i="5"/>
  <c r="BF521" i="5"/>
  <c r="AE521" i="5"/>
  <c r="AD42" i="5"/>
  <c r="BF42" i="5"/>
  <c r="AE42" i="5"/>
  <c r="AD300" i="5"/>
  <c r="AE300" i="5"/>
  <c r="BF300" i="5"/>
  <c r="AE109" i="5"/>
  <c r="AD109" i="5"/>
  <c r="BF109" i="5"/>
  <c r="AD56" i="5"/>
  <c r="AE56" i="5"/>
  <c r="BF56" i="5"/>
  <c r="AE528" i="5"/>
  <c r="BF528" i="5"/>
  <c r="AD528" i="5"/>
  <c r="AD116" i="5"/>
  <c r="AE116" i="5"/>
  <c r="BF116" i="5"/>
  <c r="AE40" i="5"/>
  <c r="AD40" i="5"/>
  <c r="BF40" i="5"/>
  <c r="AE360" i="5"/>
  <c r="BF360" i="5"/>
  <c r="AD360" i="5"/>
  <c r="AD107" i="5"/>
  <c r="AE107" i="5"/>
  <c r="BF107" i="5"/>
  <c r="BF298" i="5"/>
  <c r="AD298" i="5"/>
  <c r="AE298" i="5"/>
  <c r="AD498" i="5"/>
  <c r="AE498" i="5"/>
  <c r="BF498" i="5"/>
  <c r="AE184" i="5"/>
  <c r="AD184" i="5"/>
  <c r="BF184" i="5"/>
  <c r="AE387" i="5"/>
  <c r="BF387" i="5"/>
  <c r="AD387" i="5"/>
  <c r="AD464" i="5"/>
  <c r="AE464" i="5"/>
  <c r="BF464" i="5"/>
  <c r="AE202" i="5"/>
  <c r="AD202" i="5"/>
  <c r="BF202" i="5"/>
  <c r="AE158" i="5"/>
  <c r="AD158" i="5"/>
  <c r="BF158" i="5"/>
  <c r="AE467" i="5"/>
  <c r="BF467" i="5"/>
  <c r="AD467" i="5"/>
  <c r="AE102" i="5"/>
  <c r="AD102" i="5"/>
  <c r="BF102" i="5"/>
  <c r="BF502" i="5"/>
  <c r="AD502" i="5"/>
  <c r="AE502" i="5"/>
  <c r="AD400" i="5"/>
  <c r="BF400" i="5"/>
  <c r="AE400" i="5"/>
  <c r="AE147" i="5"/>
  <c r="AD147" i="5"/>
  <c r="BF147" i="5"/>
  <c r="AE312" i="5"/>
  <c r="AD312" i="5"/>
  <c r="BF312" i="5"/>
  <c r="AD439" i="5"/>
  <c r="BF439" i="5"/>
  <c r="AE439" i="5"/>
  <c r="BF135" i="5"/>
  <c r="AE135" i="5"/>
  <c r="AD135" i="5"/>
  <c r="AE330" i="5"/>
  <c r="AD330" i="5"/>
  <c r="BF330" i="5"/>
  <c r="AE534" i="5"/>
  <c r="BF534" i="5"/>
  <c r="AD534" i="5"/>
  <c r="AE344" i="5"/>
  <c r="BF344" i="5"/>
  <c r="AD344" i="5"/>
  <c r="AD524" i="5"/>
  <c r="AE524" i="5"/>
  <c r="BF524" i="5"/>
  <c r="AD410" i="5"/>
  <c r="AE410" i="5"/>
  <c r="BF410" i="5"/>
  <c r="AD81" i="5"/>
  <c r="BF81" i="5"/>
  <c r="AE81" i="5"/>
  <c r="BF430" i="5"/>
  <c r="AD430" i="5"/>
  <c r="AE430" i="5"/>
  <c r="BF448" i="5"/>
  <c r="AE448" i="5"/>
  <c r="AD448" i="5"/>
  <c r="AD286" i="5"/>
  <c r="BF286" i="5"/>
  <c r="AE286" i="5"/>
  <c r="AD485" i="5"/>
  <c r="BF485" i="5"/>
  <c r="AE485" i="5"/>
  <c r="AD160" i="5"/>
  <c r="BF160" i="5"/>
  <c r="AE160" i="5"/>
  <c r="BF406" i="5"/>
  <c r="AD406" i="5"/>
  <c r="AE406" i="5"/>
  <c r="AE332" i="5"/>
  <c r="BF332" i="5"/>
  <c r="AD332" i="5"/>
  <c r="AD515" i="5"/>
  <c r="BF515" i="5"/>
  <c r="AE515" i="5"/>
  <c r="BF217" i="5"/>
  <c r="AD217" i="5"/>
  <c r="AE217" i="5"/>
  <c r="AD72" i="5"/>
  <c r="AE72" i="5"/>
  <c r="BF72" i="5"/>
  <c r="AE543" i="5"/>
  <c r="BF543" i="5"/>
  <c r="AD543" i="5"/>
  <c r="AE194" i="5"/>
  <c r="AD194" i="5"/>
  <c r="BF194" i="5"/>
  <c r="BF268" i="5"/>
  <c r="AE268" i="5"/>
  <c r="AD268" i="5"/>
  <c r="BF55" i="5"/>
  <c r="AD55" i="5"/>
  <c r="AE55" i="5"/>
  <c r="AE325" i="5"/>
  <c r="AD325" i="5"/>
  <c r="BF325" i="5"/>
  <c r="BF327" i="5"/>
  <c r="AD327" i="5"/>
  <c r="AE327" i="5"/>
  <c r="AE73" i="5"/>
  <c r="AD73" i="5"/>
  <c r="BF73" i="5"/>
  <c r="BF296" i="5"/>
  <c r="AE296" i="5"/>
  <c r="AD296" i="5"/>
  <c r="AE66" i="5"/>
  <c r="AD66" i="5"/>
  <c r="BF66" i="5"/>
  <c r="BF366" i="5"/>
  <c r="AD366" i="5"/>
  <c r="AE366" i="5"/>
  <c r="BF186" i="5"/>
  <c r="AE186" i="5"/>
  <c r="AD186" i="5"/>
  <c r="AD63" i="5"/>
  <c r="AE63" i="5"/>
  <c r="BF63" i="5"/>
  <c r="AD396" i="5"/>
  <c r="BF396" i="5"/>
  <c r="AE396" i="5"/>
  <c r="BF284" i="5"/>
  <c r="AD284" i="5"/>
  <c r="AE284" i="5"/>
  <c r="AE293" i="5"/>
  <c r="AD293" i="5"/>
  <c r="BF293" i="5"/>
  <c r="AD12" i="5"/>
  <c r="BF12" i="5"/>
  <c r="AE12" i="5"/>
  <c r="AE259" i="5"/>
  <c r="BF259" i="5"/>
  <c r="AD259" i="5"/>
  <c r="AD10" i="5"/>
  <c r="AE10" i="5"/>
  <c r="BF10" i="5"/>
  <c r="AD32" i="5"/>
  <c r="AE32" i="5"/>
  <c r="BF32" i="5"/>
  <c r="AE556" i="5"/>
  <c r="AD556" i="5"/>
  <c r="BF556" i="5"/>
  <c r="AO120" i="4"/>
  <c r="AU120" i="4" s="1"/>
  <c r="AW120" i="4" s="1"/>
  <c r="AE29" i="5"/>
  <c r="AD29" i="5"/>
  <c r="BF29" i="5"/>
  <c r="AE70" i="5"/>
  <c r="BF70" i="5"/>
  <c r="AD70" i="5"/>
  <c r="AD522" i="5"/>
  <c r="AE522" i="5"/>
  <c r="BF522" i="5"/>
  <c r="AE309" i="5"/>
  <c r="AD309" i="5"/>
  <c r="BF309" i="5"/>
  <c r="BF316" i="5"/>
  <c r="AE316" i="5"/>
  <c r="AD316" i="5"/>
  <c r="BF551" i="5"/>
  <c r="AD551" i="5"/>
  <c r="AE551" i="5"/>
  <c r="AE331" i="5"/>
  <c r="AD331" i="5"/>
  <c r="BF331" i="5"/>
  <c r="BF41" i="5"/>
  <c r="AE41" i="5"/>
  <c r="AD41" i="5"/>
  <c r="AD381" i="5"/>
  <c r="AE381" i="5"/>
  <c r="BF381" i="5"/>
  <c r="AE220" i="5"/>
  <c r="AD220" i="5"/>
  <c r="BF220" i="5"/>
  <c r="BF487" i="5"/>
  <c r="AE487" i="5"/>
  <c r="AD487" i="5"/>
  <c r="AD289" i="5"/>
  <c r="AE289" i="5"/>
  <c r="BF289" i="5"/>
  <c r="AE271" i="5"/>
  <c r="AD271" i="5"/>
  <c r="BF271" i="5"/>
  <c r="AE425" i="5"/>
  <c r="AD425" i="5"/>
  <c r="BF425" i="5"/>
  <c r="AE65" i="5"/>
  <c r="AD65" i="5"/>
  <c r="BF65" i="5"/>
  <c r="AD68" i="5"/>
  <c r="BF68" i="5"/>
  <c r="AE68" i="5"/>
  <c r="BF343" i="5"/>
  <c r="AE343" i="5"/>
  <c r="AD343" i="5"/>
  <c r="BF156" i="5"/>
  <c r="AD156" i="5"/>
  <c r="AE156" i="5"/>
  <c r="BF100" i="5"/>
  <c r="AE100" i="5"/>
  <c r="AD100" i="5"/>
  <c r="AE130" i="5"/>
  <c r="BF130" i="5"/>
  <c r="AD130" i="5"/>
  <c r="AD497" i="5"/>
  <c r="AE497" i="5"/>
  <c r="BF497" i="5"/>
  <c r="BF480" i="5"/>
  <c r="AD480" i="5"/>
  <c r="AE480" i="5"/>
  <c r="AD291" i="5"/>
  <c r="AE291" i="5"/>
  <c r="BF291" i="5"/>
  <c r="AD490" i="5"/>
  <c r="AE490" i="5"/>
  <c r="BF490" i="5"/>
  <c r="AD143" i="5"/>
  <c r="AE143" i="5"/>
  <c r="BF143" i="5"/>
  <c r="AD420" i="5"/>
  <c r="AE420" i="5"/>
  <c r="BF420" i="5"/>
  <c r="AE251" i="5"/>
  <c r="AD251" i="5"/>
  <c r="BF251" i="5"/>
  <c r="AE152" i="5"/>
  <c r="BF152" i="5"/>
  <c r="AD152" i="5"/>
  <c r="AD336" i="5"/>
  <c r="AE336" i="5"/>
  <c r="BF336" i="5"/>
  <c r="AD557" i="5"/>
  <c r="AE557" i="5"/>
  <c r="BF557" i="5"/>
  <c r="AE283" i="5"/>
  <c r="AD283" i="5"/>
  <c r="BF283" i="5"/>
  <c r="AE280" i="5"/>
  <c r="AD280" i="5"/>
  <c r="BF280" i="5"/>
  <c r="AE454" i="5"/>
  <c r="AD454" i="5"/>
  <c r="BF454" i="5"/>
  <c r="BJ446" i="5"/>
  <c r="BK446" i="5"/>
  <c r="AE28" i="5"/>
  <c r="BF28" i="5"/>
  <c r="AD28" i="5"/>
  <c r="AD542" i="5"/>
  <c r="AE542" i="5"/>
  <c r="BF542" i="5"/>
  <c r="BF415" i="5"/>
  <c r="AE415" i="5"/>
  <c r="AD415" i="5"/>
  <c r="AE421" i="5"/>
  <c r="BF421" i="5"/>
  <c r="AD421" i="5"/>
  <c r="AD473" i="5"/>
  <c r="AE473" i="5"/>
  <c r="BF473" i="5"/>
  <c r="AE277" i="5"/>
  <c r="AD277" i="5"/>
  <c r="BF277" i="5"/>
  <c r="AE324" i="5"/>
  <c r="BF324" i="5"/>
  <c r="AD324" i="5"/>
  <c r="AD402" i="5"/>
  <c r="AE402" i="5"/>
  <c r="BF402" i="5"/>
  <c r="AE162" i="5"/>
  <c r="AD162" i="5"/>
  <c r="BF162" i="5"/>
  <c r="BF124" i="5"/>
  <c r="AD124" i="5"/>
  <c r="AE124" i="5"/>
  <c r="AE171" i="5"/>
  <c r="AD171" i="5"/>
  <c r="BF171" i="5"/>
  <c r="AE457" i="5"/>
  <c r="BF457" i="5"/>
  <c r="AD457" i="5"/>
  <c r="BF435" i="5"/>
  <c r="AD435" i="5"/>
  <c r="AE435" i="5"/>
  <c r="AD535" i="5"/>
  <c r="AE535" i="5"/>
  <c r="BF535" i="5"/>
  <c r="BF449" i="5"/>
  <c r="AD449" i="5"/>
  <c r="AE449" i="5"/>
  <c r="AD121" i="5"/>
  <c r="AE121" i="5"/>
  <c r="BF121" i="5"/>
  <c r="BF307" i="5"/>
  <c r="AD307" i="5"/>
  <c r="AE307" i="5"/>
  <c r="AD266" i="5"/>
  <c r="AE266" i="5"/>
  <c r="BF266" i="5"/>
  <c r="AE476" i="5"/>
  <c r="AD476" i="5"/>
  <c r="BF476" i="5"/>
  <c r="AD267" i="5"/>
  <c r="BF267" i="5"/>
  <c r="AE267" i="5"/>
  <c r="BF285" i="5"/>
  <c r="AE285" i="5"/>
  <c r="AD285" i="5"/>
  <c r="AE263" i="5"/>
  <c r="BF263" i="5"/>
  <c r="AD263" i="5"/>
  <c r="AD255" i="5"/>
  <c r="BF255" i="5"/>
  <c r="AE255" i="5"/>
  <c r="AE23" i="5"/>
  <c r="BF23" i="5"/>
  <c r="AD23" i="5"/>
  <c r="AE138" i="5"/>
  <c r="BF138" i="5"/>
  <c r="AD138" i="5"/>
  <c r="AD365" i="5"/>
  <c r="BF365" i="5"/>
  <c r="AE365" i="5"/>
  <c r="AE340" i="5"/>
  <c r="AD340" i="5"/>
  <c r="BF340" i="5"/>
  <c r="AE216" i="5"/>
  <c r="BF216" i="5"/>
  <c r="AD216" i="5"/>
  <c r="AE179" i="5"/>
  <c r="AD179" i="5"/>
  <c r="BF179" i="5"/>
  <c r="AD398" i="5"/>
  <c r="BF398" i="5"/>
  <c r="AE398" i="5"/>
  <c r="AD354" i="5"/>
  <c r="BF354" i="5"/>
  <c r="AE354" i="5"/>
  <c r="AE529" i="5"/>
  <c r="AD529" i="5"/>
  <c r="BF529" i="5"/>
  <c r="BF239" i="5"/>
  <c r="AE239" i="5"/>
  <c r="AD239" i="5"/>
  <c r="AD367" i="5"/>
  <c r="AE367" i="5"/>
  <c r="BF367" i="5"/>
  <c r="BK524" i="5"/>
  <c r="BJ524" i="5"/>
  <c r="AD494" i="5"/>
  <c r="AE494" i="5"/>
  <c r="BF494" i="5"/>
  <c r="AE248" i="5"/>
  <c r="AD248" i="5"/>
  <c r="BF248" i="5"/>
  <c r="BJ151" i="5"/>
  <c r="BK151" i="5"/>
  <c r="BK73" i="5"/>
  <c r="BJ73" i="5"/>
  <c r="BJ33" i="5"/>
  <c r="BK33" i="5"/>
  <c r="AE315" i="5"/>
  <c r="BF315" i="5"/>
  <c r="AD315" i="5"/>
  <c r="AE249" i="5"/>
  <c r="BF249" i="5"/>
  <c r="AD249" i="5"/>
  <c r="BK416" i="5"/>
  <c r="BJ416" i="5"/>
  <c r="BJ77" i="5"/>
  <c r="BK77" i="5"/>
  <c r="BJ267" i="5"/>
  <c r="BK267" i="5"/>
  <c r="BK9" i="5"/>
  <c r="BJ9" i="5"/>
  <c r="X11" i="5"/>
  <c r="Y11" i="5"/>
  <c r="BB11" i="5"/>
  <c r="BA11" i="5"/>
  <c r="S11" i="5"/>
  <c r="R11" i="5"/>
  <c r="BJ386" i="5"/>
  <c r="BK386" i="5"/>
  <c r="BK186" i="5"/>
  <c r="BJ186" i="5"/>
  <c r="BJ462" i="5"/>
  <c r="BK462" i="5"/>
  <c r="AE37" i="5"/>
  <c r="BF37" i="5"/>
  <c r="AD37" i="5"/>
  <c r="AD180" i="5"/>
  <c r="BF180" i="5"/>
  <c r="AE180" i="5"/>
  <c r="AD64" i="5"/>
  <c r="AE64" i="5"/>
  <c r="BF64" i="5"/>
  <c r="BF91" i="5"/>
  <c r="AD91" i="5"/>
  <c r="AE91" i="5"/>
  <c r="AD518" i="5"/>
  <c r="AE518" i="5"/>
  <c r="BF518" i="5"/>
  <c r="BK444" i="5"/>
  <c r="BJ444" i="5"/>
  <c r="AO139" i="4"/>
  <c r="AU139" i="4" s="1"/>
  <c r="AW139" i="4" s="1"/>
  <c r="AE468" i="5"/>
  <c r="BF468" i="5"/>
  <c r="AD468" i="5"/>
  <c r="AE560" i="5"/>
  <c r="BF560" i="5"/>
  <c r="AD560" i="5"/>
  <c r="BF272" i="5"/>
  <c r="AD272" i="5"/>
  <c r="AE272" i="5"/>
  <c r="AD119" i="5"/>
  <c r="BF119" i="5"/>
  <c r="AE119" i="5"/>
  <c r="AD373" i="5"/>
  <c r="AE373" i="5"/>
  <c r="BF373" i="5"/>
  <c r="AE369" i="5"/>
  <c r="BF369" i="5"/>
  <c r="AD369" i="5"/>
  <c r="AD537" i="5"/>
  <c r="AE537" i="5"/>
  <c r="BF537" i="5"/>
  <c r="BF462" i="5"/>
  <c r="AE462" i="5"/>
  <c r="AD462" i="5"/>
  <c r="AE319" i="5"/>
  <c r="BF319" i="5"/>
  <c r="AD319" i="5"/>
  <c r="AD416" i="5"/>
  <c r="AE416" i="5"/>
  <c r="BF416" i="5"/>
  <c r="AD441" i="5"/>
  <c r="AE441" i="5"/>
  <c r="BF441" i="5"/>
  <c r="BF175" i="5"/>
  <c r="AD175" i="5"/>
  <c r="AE175" i="5"/>
  <c r="AD408" i="5"/>
  <c r="AE408" i="5"/>
  <c r="BF408" i="5"/>
  <c r="AD337" i="5"/>
  <c r="BF337" i="5"/>
  <c r="AE337" i="5"/>
  <c r="AD43" i="5"/>
  <c r="BF43" i="5"/>
  <c r="AE43" i="5"/>
  <c r="BF148" i="5"/>
  <c r="AE148" i="5"/>
  <c r="AD148" i="5"/>
  <c r="AD499" i="5"/>
  <c r="AE499" i="5"/>
  <c r="BF499" i="5"/>
  <c r="AE294" i="5"/>
  <c r="BF294" i="5"/>
  <c r="AD294" i="5"/>
  <c r="AE422" i="5"/>
  <c r="BF422" i="5"/>
  <c r="AD422" i="5"/>
  <c r="AD376" i="5"/>
  <c r="BF376" i="5"/>
  <c r="AE376" i="5"/>
  <c r="AE278" i="5"/>
  <c r="AD278" i="5"/>
  <c r="BF278" i="5"/>
  <c r="AD165" i="5"/>
  <c r="AE165" i="5"/>
  <c r="BF165" i="5"/>
  <c r="AE446" i="5"/>
  <c r="BF446" i="5"/>
  <c r="AD446" i="5"/>
  <c r="AE221" i="5"/>
  <c r="BF221" i="5"/>
  <c r="AD221" i="5"/>
  <c r="AD553" i="5"/>
  <c r="AE553" i="5"/>
  <c r="BF553" i="5"/>
  <c r="AD357" i="5"/>
  <c r="BF357" i="5"/>
  <c r="AE357" i="5"/>
  <c r="AE540" i="5"/>
  <c r="AD540" i="5"/>
  <c r="BF540" i="5"/>
  <c r="BF273" i="5"/>
  <c r="AD273" i="5"/>
  <c r="AE273" i="5"/>
  <c r="AE71" i="5"/>
  <c r="AD71" i="5"/>
  <c r="BF71" i="5"/>
  <c r="AE111" i="5"/>
  <c r="AD111" i="5"/>
  <c r="BF111" i="5"/>
  <c r="BF423" i="5"/>
  <c r="AE423" i="5"/>
  <c r="AD423" i="5"/>
  <c r="AE58" i="5"/>
  <c r="BF58" i="5"/>
  <c r="AD58" i="5"/>
  <c r="AE311" i="5"/>
  <c r="AD311" i="5"/>
  <c r="BF311" i="5"/>
  <c r="AE455" i="5"/>
  <c r="AD455" i="5"/>
  <c r="BF455" i="5"/>
  <c r="AO46" i="4"/>
  <c r="BK529" i="5"/>
  <c r="BJ529" i="5"/>
  <c r="BK154" i="5"/>
  <c r="BJ154" i="5"/>
  <c r="AO100" i="4"/>
  <c r="AU100" i="4" s="1"/>
  <c r="AW100" i="4" s="1"/>
  <c r="AD85" i="5"/>
  <c r="BF85" i="5"/>
  <c r="AE85" i="5"/>
  <c r="AD326" i="5"/>
  <c r="BF326" i="5"/>
  <c r="AE326" i="5"/>
  <c r="AD419" i="5"/>
  <c r="BF419" i="5"/>
  <c r="AE419" i="5"/>
  <c r="AD377" i="5"/>
  <c r="AE377" i="5"/>
  <c r="BF377" i="5"/>
  <c r="BF445" i="5"/>
  <c r="AD445" i="5"/>
  <c r="AE445" i="5"/>
  <c r="AE362" i="5"/>
  <c r="BF362" i="5"/>
  <c r="AD362" i="5"/>
  <c r="AE125" i="5"/>
  <c r="BF125" i="5"/>
  <c r="AD125" i="5"/>
  <c r="AE292" i="5"/>
  <c r="BF292" i="5"/>
  <c r="AD292" i="5"/>
  <c r="BF36" i="5"/>
  <c r="AD36" i="5"/>
  <c r="AE36" i="5"/>
  <c r="BF214" i="5"/>
  <c r="AD214" i="5"/>
  <c r="AE214" i="5"/>
  <c r="AE132" i="5"/>
  <c r="BF132" i="5"/>
  <c r="AD132" i="5"/>
  <c r="AD320" i="5"/>
  <c r="AE320" i="5"/>
  <c r="BF320" i="5"/>
  <c r="AE509" i="5"/>
  <c r="AD509" i="5"/>
  <c r="BF509" i="5"/>
  <c r="AE79" i="5"/>
  <c r="BF79" i="5"/>
  <c r="AD79" i="5"/>
  <c r="AE269" i="5"/>
  <c r="BF269" i="5"/>
  <c r="AD269" i="5"/>
  <c r="AD22" i="5"/>
  <c r="AE22" i="5"/>
  <c r="BF22" i="5"/>
  <c r="AD230" i="5"/>
  <c r="AE230" i="5"/>
  <c r="BF230" i="5"/>
  <c r="AD178" i="5"/>
  <c r="BF178" i="5"/>
  <c r="AE178" i="5"/>
  <c r="BF414" i="5"/>
  <c r="AE414" i="5"/>
  <c r="AD414" i="5"/>
  <c r="AE397" i="5"/>
  <c r="AD397" i="5"/>
  <c r="BF397" i="5"/>
  <c r="BF201" i="5"/>
  <c r="AD201" i="5"/>
  <c r="AE201" i="5"/>
  <c r="BF118" i="5"/>
  <c r="AD118" i="5"/>
  <c r="AE118" i="5"/>
  <c r="AD190" i="5"/>
  <c r="BF190" i="5"/>
  <c r="AE190" i="5"/>
  <c r="AD508" i="5"/>
  <c r="BF508" i="5"/>
  <c r="AE508" i="5"/>
  <c r="BF247" i="5"/>
  <c r="AD247" i="5"/>
  <c r="AE247" i="5"/>
  <c r="AD501" i="5"/>
  <c r="BF501" i="5"/>
  <c r="AE501" i="5"/>
  <c r="BF176" i="5"/>
  <c r="AD176" i="5"/>
  <c r="AE176" i="5"/>
  <c r="AD461" i="5"/>
  <c r="AE461" i="5"/>
  <c r="BF461" i="5"/>
  <c r="AE126" i="5"/>
  <c r="BF126" i="5"/>
  <c r="AD126" i="5"/>
  <c r="AD145" i="5"/>
  <c r="AE145" i="5"/>
  <c r="BF145" i="5"/>
  <c r="BF270" i="5"/>
  <c r="AD270" i="5"/>
  <c r="AE270" i="5"/>
  <c r="AE238" i="5"/>
  <c r="AD238" i="5"/>
  <c r="BF238" i="5"/>
  <c r="BK176" i="5"/>
  <c r="BJ176" i="5"/>
  <c r="BF282" i="5"/>
  <c r="AE282" i="5"/>
  <c r="AD282" i="5"/>
  <c r="AE258" i="5"/>
  <c r="AD258" i="5"/>
  <c r="BF258" i="5"/>
  <c r="BF558" i="5"/>
  <c r="AE558" i="5"/>
  <c r="AD558" i="5"/>
  <c r="AD187" i="5"/>
  <c r="AE187" i="5"/>
  <c r="BF187" i="5"/>
  <c r="AD234" i="5"/>
  <c r="AE234" i="5"/>
  <c r="BF234" i="5"/>
  <c r="AD352" i="5"/>
  <c r="BF352" i="5"/>
  <c r="AE352" i="5"/>
  <c r="AD393" i="5"/>
  <c r="AE393" i="5"/>
  <c r="BF393" i="5"/>
  <c r="AE424" i="5"/>
  <c r="AD424" i="5"/>
  <c r="BF424" i="5"/>
  <c r="AD322" i="5"/>
  <c r="BF322" i="5"/>
  <c r="AE322" i="5"/>
  <c r="BF453" i="5"/>
  <c r="AE453" i="5"/>
  <c r="AD453" i="5"/>
  <c r="BF488" i="5"/>
  <c r="AE488" i="5"/>
  <c r="AD488" i="5"/>
  <c r="AE120" i="5"/>
  <c r="BF120" i="5"/>
  <c r="AD120" i="5"/>
  <c r="AE450" i="5"/>
  <c r="AD450" i="5"/>
  <c r="BF450" i="5"/>
  <c r="AD47" i="5"/>
  <c r="AE47" i="5"/>
  <c r="BF47" i="5"/>
  <c r="BF539" i="5"/>
  <c r="AD539" i="5"/>
  <c r="AE539" i="5"/>
  <c r="AE314" i="5"/>
  <c r="AD314" i="5"/>
  <c r="BF314" i="5"/>
  <c r="AE303" i="5"/>
  <c r="BF303" i="5"/>
  <c r="AD303" i="5"/>
  <c r="BF264" i="5"/>
  <c r="AD264" i="5"/>
  <c r="AE264" i="5"/>
  <c r="AE505" i="5"/>
  <c r="AD505" i="5"/>
  <c r="BF505" i="5"/>
  <c r="AE427" i="5"/>
  <c r="BF427" i="5"/>
  <c r="AD427" i="5"/>
  <c r="AE105" i="5"/>
  <c r="BF105" i="5"/>
  <c r="AD105" i="5"/>
  <c r="AE374" i="5"/>
  <c r="AD374" i="5"/>
  <c r="BF374" i="5"/>
  <c r="BF177" i="5"/>
  <c r="AE177" i="5"/>
  <c r="AD177" i="5"/>
  <c r="AE57" i="5"/>
  <c r="AD57" i="5"/>
  <c r="BF57" i="5"/>
  <c r="AD89" i="5"/>
  <c r="AE89" i="5"/>
  <c r="BF89" i="5"/>
  <c r="AD407" i="5"/>
  <c r="BF407" i="5"/>
  <c r="AE407" i="5"/>
  <c r="AD395" i="5"/>
  <c r="AE395" i="5"/>
  <c r="BF395" i="5"/>
  <c r="AE198" i="5"/>
  <c r="BF198" i="5"/>
  <c r="AD198" i="5"/>
  <c r="BF460" i="5"/>
  <c r="AD460" i="5"/>
  <c r="AE460" i="5"/>
  <c r="AE371" i="5"/>
  <c r="BF371" i="5"/>
  <c r="AD371" i="5"/>
  <c r="AE356" i="5"/>
  <c r="AD356" i="5"/>
  <c r="BF356" i="5"/>
  <c r="AD193" i="5"/>
  <c r="AE193" i="5"/>
  <c r="BF193" i="5"/>
  <c r="BF133" i="5"/>
  <c r="AD133" i="5"/>
  <c r="AE133" i="5"/>
  <c r="AE19" i="5"/>
  <c r="AD19" i="5"/>
  <c r="BF19" i="5"/>
  <c r="AE341" i="5"/>
  <c r="AD341" i="5"/>
  <c r="BF341" i="5"/>
  <c r="AD181" i="5"/>
  <c r="BF181" i="5"/>
  <c r="AE181" i="5"/>
  <c r="AD209" i="5"/>
  <c r="BF209" i="5"/>
  <c r="AE209" i="5"/>
  <c r="AD353" i="5"/>
  <c r="AE353" i="5"/>
  <c r="BF353" i="5"/>
  <c r="AE87" i="5"/>
  <c r="AD87" i="5"/>
  <c r="BF87" i="5"/>
  <c r="AE458" i="5"/>
  <c r="BF458" i="5"/>
  <c r="AD458" i="5"/>
  <c r="AD301" i="5"/>
  <c r="AE301" i="5"/>
  <c r="BF301" i="5"/>
  <c r="BF153" i="5"/>
  <c r="AD153" i="5"/>
  <c r="AE153" i="5"/>
  <c r="AE74" i="5"/>
  <c r="BF74" i="5"/>
  <c r="AD74" i="5"/>
  <c r="AE399" i="5"/>
  <c r="AD399" i="5"/>
  <c r="BF399" i="5"/>
  <c r="AD346" i="5"/>
  <c r="AE346" i="5"/>
  <c r="BF346" i="5"/>
  <c r="AE82" i="5"/>
  <c r="AD82" i="5"/>
  <c r="BF82" i="5"/>
  <c r="AE33" i="5"/>
  <c r="AD33" i="5"/>
  <c r="BF33" i="5"/>
  <c r="AD323" i="5"/>
  <c r="BF323" i="5"/>
  <c r="AE323" i="5"/>
  <c r="AE155" i="5"/>
  <c r="AD155" i="5"/>
  <c r="BF155" i="5"/>
  <c r="AD223" i="5"/>
  <c r="BF223" i="5"/>
  <c r="AE223" i="5"/>
  <c r="AE335" i="5"/>
  <c r="BF335" i="5"/>
  <c r="AD335" i="5"/>
  <c r="AD389" i="5"/>
  <c r="AE389" i="5"/>
  <c r="BF389" i="5"/>
  <c r="AD530" i="5"/>
  <c r="AE530" i="5"/>
  <c r="BF530" i="5"/>
  <c r="BF154" i="5"/>
  <c r="AE154" i="5"/>
  <c r="AD154" i="5"/>
  <c r="AD347" i="5"/>
  <c r="BF347" i="5"/>
  <c r="AE347" i="5"/>
  <c r="AD306" i="5"/>
  <c r="BF306" i="5"/>
  <c r="AE306" i="5"/>
  <c r="BF305" i="5"/>
  <c r="AE305" i="5"/>
  <c r="AD305" i="5"/>
  <c r="AD536" i="5"/>
  <c r="BF536" i="5"/>
  <c r="AE536" i="5"/>
  <c r="AE196" i="5"/>
  <c r="AD196" i="5"/>
  <c r="BF196" i="5"/>
  <c r="AD215" i="5"/>
  <c r="AE215" i="5"/>
  <c r="BF215" i="5"/>
  <c r="AE78" i="5"/>
  <c r="BF78" i="5"/>
  <c r="AD78" i="5"/>
  <c r="AE192" i="5"/>
  <c r="BF192" i="5"/>
  <c r="AD192" i="5"/>
  <c r="AE404" i="5"/>
  <c r="AD404" i="5"/>
  <c r="BF404" i="5"/>
  <c r="AD355" i="5"/>
  <c r="AE355" i="5"/>
  <c r="BF355" i="5"/>
  <c r="BF386" i="5"/>
  <c r="AD386" i="5"/>
  <c r="AE386" i="5"/>
  <c r="AD302" i="5"/>
  <c r="AE302" i="5"/>
  <c r="BF302" i="5"/>
  <c r="BF444" i="5"/>
  <c r="AD444" i="5"/>
  <c r="AE444" i="5"/>
  <c r="AO41" i="4"/>
  <c r="BK54" i="5"/>
  <c r="BJ54" i="5"/>
  <c r="AO115" i="4"/>
  <c r="AU115" i="4" s="1"/>
  <c r="AW115" i="4" s="1"/>
  <c r="AE304" i="5"/>
  <c r="AD304" i="5"/>
  <c r="BF304" i="5"/>
  <c r="BJ219" i="5"/>
  <c r="BK219" i="5"/>
  <c r="BK13" i="5"/>
  <c r="BJ13" i="5"/>
  <c r="AO14" i="4"/>
  <c r="AE527" i="5"/>
  <c r="BF527" i="5"/>
  <c r="AD527" i="5"/>
  <c r="AD129" i="5"/>
  <c r="BF129" i="5"/>
  <c r="AE129" i="5"/>
  <c r="AO44" i="4"/>
  <c r="AK11" i="5"/>
  <c r="AL11" i="5"/>
  <c r="AP11" i="5"/>
  <c r="AO11" i="5"/>
  <c r="AN11" i="5"/>
  <c r="AO70" i="4"/>
  <c r="AU70" i="4" s="1"/>
  <c r="AW70" i="4" s="1"/>
  <c r="BK159" i="5"/>
  <c r="BJ159" i="5"/>
  <c r="BJ394" i="5"/>
  <c r="BK394" i="5"/>
  <c r="BF46" i="5"/>
  <c r="AD46" i="5"/>
  <c r="AE46" i="5"/>
  <c r="AD405" i="5"/>
  <c r="BF405" i="5"/>
  <c r="AE405" i="5"/>
  <c r="AE62" i="5"/>
  <c r="AD62" i="5"/>
  <c r="BF62" i="5"/>
  <c r="AD466" i="5"/>
  <c r="BF466" i="5"/>
  <c r="AE466" i="5"/>
  <c r="AD34" i="5"/>
  <c r="BF34" i="5"/>
  <c r="AE34" i="5"/>
  <c r="AE149" i="5"/>
  <c r="AD149" i="5"/>
  <c r="BF149" i="5"/>
  <c r="AE350" i="5"/>
  <c r="BF350" i="5"/>
  <c r="AD350" i="5"/>
  <c r="AE123" i="5"/>
  <c r="AD123" i="5"/>
  <c r="BF123" i="5"/>
  <c r="AE442" i="5"/>
  <c r="BF442" i="5"/>
  <c r="AD442" i="5"/>
  <c r="AE13" i="5"/>
  <c r="AD13" i="5"/>
  <c r="BF13" i="5"/>
  <c r="BF438" i="5"/>
  <c r="AE438" i="5"/>
  <c r="AD438" i="5"/>
  <c r="AD451" i="5"/>
  <c r="AE451" i="5"/>
  <c r="BF451" i="5"/>
  <c r="AD276" i="5"/>
  <c r="BF276" i="5"/>
  <c r="AE276" i="5"/>
  <c r="AE379" i="5"/>
  <c r="AD379" i="5"/>
  <c r="BF379" i="5"/>
  <c r="AE30" i="5"/>
  <c r="BF30" i="5"/>
  <c r="AD30" i="5"/>
  <c r="AD489" i="5"/>
  <c r="BF489" i="5"/>
  <c r="AE489" i="5"/>
  <c r="BF113" i="5"/>
  <c r="AE113" i="5"/>
  <c r="AD113" i="5"/>
  <c r="AE380" i="5"/>
  <c r="BF380" i="5"/>
  <c r="AD380" i="5"/>
  <c r="AE84" i="5"/>
  <c r="BF84" i="5"/>
  <c r="AD84" i="5"/>
  <c r="AD108" i="5"/>
  <c r="AE108" i="5"/>
  <c r="BF108" i="5"/>
  <c r="AE463" i="5"/>
  <c r="BF463" i="5"/>
  <c r="AD463" i="5"/>
  <c r="AE80" i="5"/>
  <c r="BF80" i="5"/>
  <c r="AD80" i="5"/>
  <c r="BF550" i="5"/>
  <c r="AD550" i="5"/>
  <c r="AE550" i="5"/>
  <c r="AE226" i="5"/>
  <c r="BF226" i="5"/>
  <c r="AD226" i="5"/>
  <c r="BF338" i="5"/>
  <c r="AE338" i="5"/>
  <c r="AD338" i="5"/>
  <c r="AD390" i="5"/>
  <c r="AE390" i="5"/>
  <c r="BF390" i="5"/>
  <c r="AD375" i="5"/>
  <c r="AE375" i="5"/>
  <c r="BF375" i="5"/>
  <c r="AE131" i="5"/>
  <c r="AD131" i="5"/>
  <c r="BF131" i="5"/>
  <c r="AE257" i="5"/>
  <c r="BF257" i="5"/>
  <c r="AD257" i="5"/>
  <c r="BF24" i="5"/>
  <c r="AE24" i="5"/>
  <c r="AD24" i="5"/>
  <c r="AE224" i="5"/>
  <c r="BF224" i="5"/>
  <c r="AD224" i="5"/>
  <c r="AE313" i="5"/>
  <c r="AD313" i="5"/>
  <c r="BF313" i="5"/>
  <c r="AD363" i="5"/>
  <c r="AE363" i="5"/>
  <c r="BF363" i="5"/>
  <c r="AD382" i="5"/>
  <c r="AE382" i="5"/>
  <c r="BF382" i="5"/>
  <c r="AE9" i="5"/>
  <c r="AD9" i="5"/>
  <c r="BF9" i="5"/>
  <c r="BJ68" i="5"/>
  <c r="BK68" i="5"/>
  <c r="AO104" i="4"/>
  <c r="AU104" i="4" s="1"/>
  <c r="AW104" i="4" s="1"/>
  <c r="AE281" i="5"/>
  <c r="BF281" i="5"/>
  <c r="AD281" i="5"/>
  <c r="AD49" i="5"/>
  <c r="AE49" i="5"/>
  <c r="BF49" i="5"/>
  <c r="BF225" i="5"/>
  <c r="AD225" i="5"/>
  <c r="AE225" i="5"/>
  <c r="BF213" i="5"/>
  <c r="AE213" i="5"/>
  <c r="AD213" i="5"/>
  <c r="BF90" i="5"/>
  <c r="AD90" i="5"/>
  <c r="AE90" i="5"/>
  <c r="AE475" i="5"/>
  <c r="AD475" i="5"/>
  <c r="BF475" i="5"/>
  <c r="AD443" i="5"/>
  <c r="BF443" i="5"/>
  <c r="AE443" i="5"/>
  <c r="AD98" i="5"/>
  <c r="BF98" i="5"/>
  <c r="AE98" i="5"/>
  <c r="AE31" i="5"/>
  <c r="AD31" i="5"/>
  <c r="BF31" i="5"/>
  <c r="BF440" i="5"/>
  <c r="AE440" i="5"/>
  <c r="AD440" i="5"/>
  <c r="AE401" i="5"/>
  <c r="BF401" i="5"/>
  <c r="AD401" i="5"/>
  <c r="BF403" i="5"/>
  <c r="AD403" i="5"/>
  <c r="AE403" i="5"/>
  <c r="BF465" i="5"/>
  <c r="AE465" i="5"/>
  <c r="AD465" i="5"/>
  <c r="AD492" i="5"/>
  <c r="AE492" i="5"/>
  <c r="BF492" i="5"/>
  <c r="AD61" i="5"/>
  <c r="AE61" i="5"/>
  <c r="BF61" i="5"/>
  <c r="AD411" i="5"/>
  <c r="AE411" i="5"/>
  <c r="BF411" i="5"/>
  <c r="BF555" i="5"/>
  <c r="AE555" i="5"/>
  <c r="AD555" i="5"/>
  <c r="AD240" i="5"/>
  <c r="AE240" i="5"/>
  <c r="BF240" i="5"/>
  <c r="AD204" i="5"/>
  <c r="AE204" i="5"/>
  <c r="BF204" i="5"/>
  <c r="AE222" i="5"/>
  <c r="AD222" i="5"/>
  <c r="BF222" i="5"/>
  <c r="AE506" i="5"/>
  <c r="AD506" i="5"/>
  <c r="BF506" i="5"/>
  <c r="BF434" i="5"/>
  <c r="AD434" i="5"/>
  <c r="AE434" i="5"/>
  <c r="BF246" i="5"/>
  <c r="AE246" i="5"/>
  <c r="AD246" i="5"/>
  <c r="AE533" i="5"/>
  <c r="BF533" i="5"/>
  <c r="AD533" i="5"/>
  <c r="BF511" i="5"/>
  <c r="AE511" i="5"/>
  <c r="AD511" i="5"/>
  <c r="BF86" i="5"/>
  <c r="AE86" i="5"/>
  <c r="AD86" i="5"/>
  <c r="AD114" i="5"/>
  <c r="AE114" i="5"/>
  <c r="BF114" i="5"/>
  <c r="BF161" i="5"/>
  <c r="AE161" i="5"/>
  <c r="AD161" i="5"/>
  <c r="BF227" i="5"/>
  <c r="AD227" i="5"/>
  <c r="AE227" i="5"/>
  <c r="AD212" i="5"/>
  <c r="BF212" i="5"/>
  <c r="AE212" i="5"/>
  <c r="AD127" i="5"/>
  <c r="BF127" i="5"/>
  <c r="AE127" i="5"/>
  <c r="AE233" i="5"/>
  <c r="AD233" i="5"/>
  <c r="BF233" i="5"/>
  <c r="AO29" i="4"/>
  <c r="AO51" i="4"/>
  <c r="AD76" i="5"/>
  <c r="AE76" i="5"/>
  <c r="BF76" i="5"/>
  <c r="BF166" i="5"/>
  <c r="AE166" i="5"/>
  <c r="AD166" i="5"/>
  <c r="BF507" i="5"/>
  <c r="AE507" i="5"/>
  <c r="AD507" i="5"/>
  <c r="BF51" i="5"/>
  <c r="AE51" i="5"/>
  <c r="AD51" i="5"/>
  <c r="AE83" i="5"/>
  <c r="AD83" i="5"/>
  <c r="BF83" i="5"/>
  <c r="AD236" i="5"/>
  <c r="BF236" i="5"/>
  <c r="AE236" i="5"/>
  <c r="AE93" i="5"/>
  <c r="AD93" i="5"/>
  <c r="BF93" i="5"/>
  <c r="AD474" i="5"/>
  <c r="BF474" i="5"/>
  <c r="AE474" i="5"/>
  <c r="BF191" i="5"/>
  <c r="AD191" i="5"/>
  <c r="AE191" i="5"/>
  <c r="AD203" i="5"/>
  <c r="BF203" i="5"/>
  <c r="AE203" i="5"/>
  <c r="AD486" i="5"/>
  <c r="AE486" i="5"/>
  <c r="BF486" i="5"/>
  <c r="BF95" i="5"/>
  <c r="AD95" i="5"/>
  <c r="AE95" i="5"/>
  <c r="AD333" i="5"/>
  <c r="BF333" i="5"/>
  <c r="AE333" i="5"/>
  <c r="AD545" i="5"/>
  <c r="BF545" i="5"/>
  <c r="AE545" i="5"/>
  <c r="BF378" i="5"/>
  <c r="AE378" i="5"/>
  <c r="AD378" i="5"/>
  <c r="AE67" i="5"/>
  <c r="AD67" i="5"/>
  <c r="BF67" i="5"/>
  <c r="BF275" i="5"/>
  <c r="AE275" i="5"/>
  <c r="AD275" i="5"/>
  <c r="BF151" i="5"/>
  <c r="AE151" i="5"/>
  <c r="AD151" i="5"/>
  <c r="BF483" i="5"/>
  <c r="AE483" i="5"/>
  <c r="AD483" i="5"/>
  <c r="AD25" i="5"/>
  <c r="BF25" i="5"/>
  <c r="AE25" i="5"/>
  <c r="AD433" i="5"/>
  <c r="BF433" i="5"/>
  <c r="AE433" i="5"/>
  <c r="AD199" i="5"/>
  <c r="AE199" i="5"/>
  <c r="BF199" i="5"/>
  <c r="BF472" i="5"/>
  <c r="AE472" i="5"/>
  <c r="AD472" i="5"/>
  <c r="AE211" i="5"/>
  <c r="AD211" i="5"/>
  <c r="BF211" i="5"/>
  <c r="AE471" i="5"/>
  <c r="BF471" i="5"/>
  <c r="AD471" i="5"/>
  <c r="BF241" i="5"/>
  <c r="AE241" i="5"/>
  <c r="AD241" i="5"/>
  <c r="AE469" i="5"/>
  <c r="AD469" i="5"/>
  <c r="BF469" i="5"/>
  <c r="BF174" i="5"/>
  <c r="AE174" i="5"/>
  <c r="AD174" i="5"/>
  <c r="AE484" i="5"/>
  <c r="BF484" i="5"/>
  <c r="AD484" i="5"/>
  <c r="AE546" i="5"/>
  <c r="AD546" i="5"/>
  <c r="BF546" i="5"/>
  <c r="AD244" i="5"/>
  <c r="BF244" i="5"/>
  <c r="AE244" i="5"/>
  <c r="BF75" i="5"/>
  <c r="AE75" i="5"/>
  <c r="AD75" i="5"/>
  <c r="AE137" i="5"/>
  <c r="AD137" i="5"/>
  <c r="BF137" i="5"/>
  <c r="AE328" i="5"/>
  <c r="AD328" i="5"/>
  <c r="BF328" i="5"/>
  <c r="BF110" i="5"/>
  <c r="AD110" i="5"/>
  <c r="AE110" i="5"/>
  <c r="BF500" i="5"/>
  <c r="AE500" i="5"/>
  <c r="AD500" i="5"/>
  <c r="AD164" i="5"/>
  <c r="AE164" i="5"/>
  <c r="BF164" i="5"/>
  <c r="BF554" i="5"/>
  <c r="AD554" i="5"/>
  <c r="AE554" i="5"/>
  <c r="AE329" i="5"/>
  <c r="BF329" i="5"/>
  <c r="AD329" i="5"/>
  <c r="AE195" i="5"/>
  <c r="BF195" i="5"/>
  <c r="AD195" i="5"/>
  <c r="AE349" i="5"/>
  <c r="AD349" i="5"/>
  <c r="BF349" i="5"/>
  <c r="AE339" i="5"/>
  <c r="AD339" i="5"/>
  <c r="BF339" i="5"/>
  <c r="BF417" i="5"/>
  <c r="AD417" i="5"/>
  <c r="AE417" i="5"/>
  <c r="BF262" i="5"/>
  <c r="AE262" i="5"/>
  <c r="AD262" i="5"/>
  <c r="AE412" i="5"/>
  <c r="AD412" i="5"/>
  <c r="BF412" i="5"/>
  <c r="BF495" i="5"/>
  <c r="AD495" i="5"/>
  <c r="AE495" i="5"/>
  <c r="AD394" i="5"/>
  <c r="AE394" i="5"/>
  <c r="BF394" i="5"/>
  <c r="AD229" i="5"/>
  <c r="AE229" i="5"/>
  <c r="BF229" i="5"/>
  <c r="AE99" i="5"/>
  <c r="BF99" i="5"/>
  <c r="AD99" i="5"/>
  <c r="AD159" i="5"/>
  <c r="AE159" i="5"/>
  <c r="BF159" i="5"/>
  <c r="AD523" i="5"/>
  <c r="BF523" i="5"/>
  <c r="AE523" i="5"/>
  <c r="AE532" i="5"/>
  <c r="BF532" i="5"/>
  <c r="AD532" i="5"/>
  <c r="AE237" i="5"/>
  <c r="BF237" i="5"/>
  <c r="AD237" i="5"/>
  <c r="BF274" i="5"/>
  <c r="AE274" i="5"/>
  <c r="AD274" i="5"/>
  <c r="AE359" i="5"/>
  <c r="AD359" i="5"/>
  <c r="BF359" i="5"/>
  <c r="AD136" i="5"/>
  <c r="BF136" i="5"/>
  <c r="AE136" i="5"/>
  <c r="BF548" i="5"/>
  <c r="AE548" i="5"/>
  <c r="AD548" i="5"/>
  <c r="AD189" i="5"/>
  <c r="BF189" i="5"/>
  <c r="AE189" i="5"/>
  <c r="AD146" i="5"/>
  <c r="BF146" i="5"/>
  <c r="AE146" i="5"/>
  <c r="AD169" i="5"/>
  <c r="AE169" i="5"/>
  <c r="BF169" i="5"/>
  <c r="AD520" i="5"/>
  <c r="AE520" i="5"/>
  <c r="BF520" i="5"/>
  <c r="AE310" i="5"/>
  <c r="BF310" i="5"/>
  <c r="AD310" i="5"/>
  <c r="AD59" i="5"/>
  <c r="BF59" i="5"/>
  <c r="AE59" i="5"/>
  <c r="AD39" i="5"/>
  <c r="BF39" i="5"/>
  <c r="AE39" i="5"/>
  <c r="AE496" i="5"/>
  <c r="AD496" i="5"/>
  <c r="BF496" i="5"/>
  <c r="AD517" i="5"/>
  <c r="AE517" i="5"/>
  <c r="BF517" i="5"/>
  <c r="BK372" i="5"/>
  <c r="BJ372" i="5"/>
  <c r="AO39" i="4"/>
  <c r="BK452" i="5"/>
  <c r="BJ452" i="5"/>
  <c r="BF525" i="5"/>
  <c r="AE525" i="5"/>
  <c r="AD525" i="5"/>
  <c r="AO153" i="4"/>
  <c r="AU153" i="4" s="1"/>
  <c r="AW153" i="4" s="1"/>
  <c r="AD170" i="5"/>
  <c r="BF170" i="5"/>
  <c r="AE170" i="5"/>
  <c r="AO83" i="4"/>
  <c r="AU83" i="4" s="1"/>
  <c r="AW83" i="4" s="1"/>
  <c r="BK500" i="5"/>
  <c r="BJ500" i="5"/>
  <c r="AO33" i="4"/>
  <c r="AX11" i="5"/>
  <c r="AY11" i="5"/>
  <c r="AU11" i="5"/>
  <c r="BC11" i="5"/>
  <c r="AV11" i="5"/>
  <c r="AO43" i="4"/>
  <c r="AO119" i="4"/>
  <c r="AU119" i="4" s="1"/>
  <c r="AW119" i="4" s="1"/>
  <c r="BJ504" i="5"/>
  <c r="BK504" i="5"/>
  <c r="AO28" i="4"/>
  <c r="AO58" i="4" l="1"/>
  <c r="AU58" i="4" s="1"/>
  <c r="AW58" i="4" s="1"/>
  <c r="AO130" i="4"/>
  <c r="AU130" i="4" s="1"/>
  <c r="AW130" i="4" s="1"/>
  <c r="AU86" i="4"/>
  <c r="AW86" i="4" s="1"/>
  <c r="AO145" i="4"/>
  <c r="AU145" i="4" s="1"/>
  <c r="AW145" i="4" s="1"/>
  <c r="AO76" i="4"/>
  <c r="AU76" i="4" s="1"/>
  <c r="AW76" i="4" s="1"/>
  <c r="AO75" i="4"/>
  <c r="AU75" i="4" s="1"/>
  <c r="AW75" i="4" s="1"/>
  <c r="BH418" i="5"/>
  <c r="BM418" i="5" s="1"/>
  <c r="AU127" i="4"/>
  <c r="AW127" i="4" s="1"/>
  <c r="AU53" i="4"/>
  <c r="AW53" i="4" s="1"/>
  <c r="AU39" i="4"/>
  <c r="AW39" i="4" s="1"/>
  <c r="AU123" i="4"/>
  <c r="AW123" i="4" s="1"/>
  <c r="AU43" i="4"/>
  <c r="AW43" i="4" s="1"/>
  <c r="AU51" i="4"/>
  <c r="AW51" i="4" s="1"/>
  <c r="AU28" i="4"/>
  <c r="AW28" i="4" s="1"/>
  <c r="AU131" i="4"/>
  <c r="AW131" i="4" s="1"/>
  <c r="AU126" i="4"/>
  <c r="AW126" i="4" s="1"/>
  <c r="AU56" i="4"/>
  <c r="AW56" i="4" s="1"/>
  <c r="AU30" i="4"/>
  <c r="AW30" i="4" s="1"/>
  <c r="AU29" i="4"/>
  <c r="AW29" i="4" s="1"/>
  <c r="AU33" i="4"/>
  <c r="AW33" i="4" s="1"/>
  <c r="AU154" i="4"/>
  <c r="AW154" i="4" s="1"/>
  <c r="AU35" i="4"/>
  <c r="AW35" i="4" s="1"/>
  <c r="AU36" i="4"/>
  <c r="AW36" i="4" s="1"/>
  <c r="AU73" i="4"/>
  <c r="AW73" i="4" s="1"/>
  <c r="AU27" i="4"/>
  <c r="AW27" i="4" s="1"/>
  <c r="AU52" i="4"/>
  <c r="AW52" i="4" s="1"/>
  <c r="AU41" i="4"/>
  <c r="AW41" i="4" s="1"/>
  <c r="AU31" i="4"/>
  <c r="AW31" i="4" s="1"/>
  <c r="AU48" i="4"/>
  <c r="AW48" i="4" s="1"/>
  <c r="AU78" i="4"/>
  <c r="AW78" i="4" s="1"/>
  <c r="AU14" i="4"/>
  <c r="AW14" i="4" s="1"/>
  <c r="AU46" i="4"/>
  <c r="AW46" i="4" s="1"/>
  <c r="AO57" i="4"/>
  <c r="AK62" i="4"/>
  <c r="AL62" i="4" s="1"/>
  <c r="AO62" i="4" s="1"/>
  <c r="AU114" i="4"/>
  <c r="AW114" i="4" s="1"/>
  <c r="AU142" i="4"/>
  <c r="AW142" i="4" s="1"/>
  <c r="AU49" i="4"/>
  <c r="AW49" i="4" s="1"/>
  <c r="AU44" i="4"/>
  <c r="AW44" i="4" s="1"/>
  <c r="AU149" i="4"/>
  <c r="AW149" i="4" s="1"/>
  <c r="AU37" i="4"/>
  <c r="AW37" i="4" s="1"/>
  <c r="AU19" i="4"/>
  <c r="AW19" i="4" s="1"/>
  <c r="AU85" i="4"/>
  <c r="AW85" i="4" s="1"/>
  <c r="AK65" i="4"/>
  <c r="AL65" i="4" s="1"/>
  <c r="AO65" i="4" s="1"/>
  <c r="AU134" i="4"/>
  <c r="AW134" i="4" s="1"/>
  <c r="AU21" i="4"/>
  <c r="AW21" i="4" s="1"/>
  <c r="AK55" i="4"/>
  <c r="AL55" i="4" s="1"/>
  <c r="AO55" i="4" s="1"/>
  <c r="AC40" i="4"/>
  <c r="AD40" i="4" s="1"/>
  <c r="AQ40" i="4"/>
  <c r="AP40" i="4"/>
  <c r="AP64" i="4"/>
  <c r="AQ64" i="4"/>
  <c r="AC64" i="4"/>
  <c r="AD64" i="4" s="1"/>
  <c r="AC62" i="4"/>
  <c r="AD62" i="4" s="1"/>
  <c r="AU140" i="4"/>
  <c r="AW140" i="4" s="1"/>
  <c r="AP50" i="4"/>
  <c r="AQ50" i="4"/>
  <c r="AC50" i="4"/>
  <c r="AD50" i="4" s="1"/>
  <c r="AQ42" i="4"/>
  <c r="AP42" i="4"/>
  <c r="AC42" i="4"/>
  <c r="AD42" i="4" s="1"/>
  <c r="AQ45" i="4"/>
  <c r="AP45" i="4"/>
  <c r="AC45" i="4"/>
  <c r="AD45" i="4" s="1"/>
  <c r="AJ54" i="4"/>
  <c r="AA54" i="4"/>
  <c r="AJ57" i="4"/>
  <c r="AA57" i="4"/>
  <c r="AJ61" i="4"/>
  <c r="AA61" i="4"/>
  <c r="AO90" i="4"/>
  <c r="AU90" i="4" s="1"/>
  <c r="AW90" i="4" s="1"/>
  <c r="AJ60" i="4"/>
  <c r="AA60" i="4"/>
  <c r="AK61" i="4"/>
  <c r="AL61" i="4" s="1"/>
  <c r="AO61" i="4" s="1"/>
  <c r="AK54" i="4"/>
  <c r="AL54" i="4" s="1"/>
  <c r="AO54" i="4" s="1"/>
  <c r="AJ63" i="4"/>
  <c r="AA63" i="4"/>
  <c r="AK63" i="4"/>
  <c r="AL63" i="4" s="1"/>
  <c r="AO63" i="4" s="1"/>
  <c r="AJ59" i="4"/>
  <c r="AA59" i="4"/>
  <c r="AA65" i="4"/>
  <c r="AU34" i="4"/>
  <c r="AW34" i="4" s="1"/>
  <c r="AK60" i="4"/>
  <c r="AL60" i="4" s="1"/>
  <c r="AO60" i="4" s="1"/>
  <c r="AQ62" i="4"/>
  <c r="AA55" i="4"/>
  <c r="AQ26" i="4"/>
  <c r="AP26" i="4"/>
  <c r="AC26" i="4"/>
  <c r="AD26" i="4" s="1"/>
  <c r="AU151" i="4"/>
  <c r="AW151" i="4" s="1"/>
  <c r="AC32" i="4"/>
  <c r="AD32" i="4" s="1"/>
  <c r="AQ32" i="4"/>
  <c r="AP32" i="4"/>
  <c r="AU148" i="4"/>
  <c r="AW148" i="4" s="1"/>
  <c r="AU117" i="4"/>
  <c r="AW117" i="4" s="1"/>
  <c r="AU11" i="4"/>
  <c r="AW11" i="4" s="1"/>
  <c r="AU105" i="4"/>
  <c r="AW105" i="4" s="1"/>
  <c r="AU155" i="4"/>
  <c r="AW155" i="4" s="1"/>
  <c r="AU141" i="4"/>
  <c r="AW141" i="4" s="1"/>
  <c r="AU13" i="4"/>
  <c r="AW13" i="4" s="1"/>
  <c r="AO124" i="4"/>
  <c r="AU124" i="4" s="1"/>
  <c r="AW124" i="4" s="1"/>
  <c r="AU10" i="4"/>
  <c r="AW10" i="4" s="1"/>
  <c r="AU129" i="4"/>
  <c r="AW129" i="4" s="1"/>
  <c r="AU106" i="4"/>
  <c r="AW106" i="4" s="1"/>
  <c r="AU110" i="4"/>
  <c r="AW110" i="4" s="1"/>
  <c r="AU133" i="4"/>
  <c r="AW133" i="4" s="1"/>
  <c r="AO94" i="4"/>
  <c r="AU94" i="4" s="1"/>
  <c r="AW94" i="4" s="1"/>
  <c r="AO101" i="4"/>
  <c r="AU101" i="4" s="1"/>
  <c r="AW101" i="4" s="1"/>
  <c r="AU122" i="4"/>
  <c r="AW122" i="4" s="1"/>
  <c r="AU74" i="4"/>
  <c r="AW74" i="4" s="1"/>
  <c r="AU152" i="4"/>
  <c r="AW152" i="4" s="1"/>
  <c r="AU108" i="4"/>
  <c r="AW108" i="4" s="1"/>
  <c r="AU109" i="4"/>
  <c r="AW109" i="4" s="1"/>
  <c r="AU97" i="4"/>
  <c r="AW97" i="4" s="1"/>
  <c r="AU118" i="4"/>
  <c r="AW118" i="4" s="1"/>
  <c r="AU69" i="4"/>
  <c r="AW69" i="4" s="1"/>
  <c r="AU93" i="4"/>
  <c r="AW93" i="4" s="1"/>
  <c r="AU144" i="4"/>
  <c r="AW144" i="4" s="1"/>
  <c r="AU112" i="4"/>
  <c r="AW112" i="4" s="1"/>
  <c r="AU25" i="4"/>
  <c r="AW25" i="4" s="1"/>
  <c r="AU24" i="4"/>
  <c r="AW24" i="4" s="1"/>
  <c r="AU12" i="4"/>
  <c r="AW12" i="4" s="1"/>
  <c r="AD11" i="5"/>
  <c r="AU135" i="4"/>
  <c r="AW135" i="4" s="1"/>
  <c r="AU18" i="4"/>
  <c r="AW18" i="4" s="1"/>
  <c r="AU125" i="4"/>
  <c r="AW125" i="4" s="1"/>
  <c r="AU95" i="4"/>
  <c r="AW95" i="4" s="1"/>
  <c r="AU22" i="4"/>
  <c r="AW22" i="4" s="1"/>
  <c r="AU92" i="4"/>
  <c r="AW92" i="4" s="1"/>
  <c r="AU136" i="4"/>
  <c r="AW136" i="4" s="1"/>
  <c r="AU16" i="4"/>
  <c r="AW16" i="4" s="1"/>
  <c r="AU156" i="4"/>
  <c r="AW156" i="4" s="1"/>
  <c r="AU89" i="4"/>
  <c r="AW89" i="4" s="1"/>
  <c r="AU113" i="4"/>
  <c r="AW113" i="4" s="1"/>
  <c r="AO59" i="4"/>
  <c r="AU20" i="4"/>
  <c r="AW20" i="4" s="1"/>
  <c r="AO137" i="4"/>
  <c r="AU137" i="4" s="1"/>
  <c r="AW137" i="4" s="1"/>
  <c r="AU8" i="4"/>
  <c r="AW8" i="4" s="1"/>
  <c r="AU102" i="4"/>
  <c r="AW102" i="4" s="1"/>
  <c r="AU81" i="4"/>
  <c r="AW81" i="4" s="1"/>
  <c r="AU79" i="4"/>
  <c r="AW79" i="4" s="1"/>
  <c r="AU82" i="4"/>
  <c r="AW82" i="4" s="1"/>
  <c r="AO66" i="4"/>
  <c r="AU66" i="4" s="1"/>
  <c r="AW66" i="4" s="1"/>
  <c r="AU98" i="4"/>
  <c r="AW98" i="4" s="1"/>
  <c r="AU128" i="4"/>
  <c r="AW128" i="4" s="1"/>
  <c r="AU67" i="4"/>
  <c r="AW67" i="4" s="1"/>
  <c r="AU143" i="4"/>
  <c r="AW143" i="4" s="1"/>
  <c r="AU77" i="4"/>
  <c r="AW77" i="4" s="1"/>
  <c r="AU116" i="4"/>
  <c r="AW116" i="4" s="1"/>
  <c r="AU111" i="4"/>
  <c r="AW111" i="4" s="1"/>
  <c r="AU23" i="4"/>
  <c r="AW23" i="4" s="1"/>
  <c r="AU7" i="4"/>
  <c r="AW7" i="4" s="1"/>
  <c r="AU121" i="4"/>
  <c r="AW121" i="4" s="1"/>
  <c r="AU15" i="4"/>
  <c r="AW15" i="4" s="1"/>
  <c r="AU9" i="4"/>
  <c r="AW9" i="4" s="1"/>
  <c r="AU96" i="4"/>
  <c r="AW96" i="4" s="1"/>
  <c r="BH170" i="5"/>
  <c r="BM170" i="5" s="1"/>
  <c r="BG170" i="5"/>
  <c r="BL170" i="5" s="1"/>
  <c r="BH237" i="5"/>
  <c r="BM237" i="5" s="1"/>
  <c r="BG237" i="5"/>
  <c r="BL237" i="5" s="1"/>
  <c r="BH262" i="5"/>
  <c r="BM262" i="5" s="1"/>
  <c r="BG262" i="5"/>
  <c r="BL262" i="5" s="1"/>
  <c r="BG500" i="5"/>
  <c r="BL500" i="5" s="1"/>
  <c r="BH500" i="5"/>
  <c r="BM500" i="5" s="1"/>
  <c r="BG244" i="5"/>
  <c r="BL244" i="5" s="1"/>
  <c r="BH244" i="5"/>
  <c r="BM244" i="5" s="1"/>
  <c r="BG241" i="5"/>
  <c r="BL241" i="5" s="1"/>
  <c r="BH241" i="5"/>
  <c r="BM241" i="5" s="1"/>
  <c r="BG211" i="5"/>
  <c r="BL211" i="5" s="1"/>
  <c r="BH211" i="5"/>
  <c r="BM211" i="5" s="1"/>
  <c r="BG151" i="5"/>
  <c r="BL151" i="5" s="1"/>
  <c r="BH151" i="5"/>
  <c r="BM151" i="5" s="1"/>
  <c r="BG67" i="5"/>
  <c r="BL67" i="5" s="1"/>
  <c r="BH67" i="5"/>
  <c r="BM67" i="5" s="1"/>
  <c r="BG166" i="5"/>
  <c r="BL166" i="5" s="1"/>
  <c r="BH166" i="5"/>
  <c r="BM166" i="5" s="1"/>
  <c r="BG233" i="5"/>
  <c r="BL233" i="5" s="1"/>
  <c r="BH233" i="5"/>
  <c r="BM233" i="5" s="1"/>
  <c r="BG127" i="5"/>
  <c r="BL127" i="5" s="1"/>
  <c r="BH127" i="5"/>
  <c r="BM127" i="5" s="1"/>
  <c r="BH86" i="5"/>
  <c r="BM86" i="5" s="1"/>
  <c r="BG86" i="5"/>
  <c r="BL86" i="5" s="1"/>
  <c r="BH434" i="5"/>
  <c r="BM434" i="5" s="1"/>
  <c r="BG434" i="5"/>
  <c r="BL434" i="5" s="1"/>
  <c r="BG222" i="5"/>
  <c r="BL222" i="5" s="1"/>
  <c r="BH222" i="5"/>
  <c r="BM222" i="5" s="1"/>
  <c r="BG411" i="5"/>
  <c r="BL411" i="5" s="1"/>
  <c r="BH411" i="5"/>
  <c r="BM411" i="5" s="1"/>
  <c r="BG401" i="5"/>
  <c r="BL401" i="5" s="1"/>
  <c r="BH401" i="5"/>
  <c r="BM401" i="5" s="1"/>
  <c r="BH440" i="5"/>
  <c r="BM440" i="5" s="1"/>
  <c r="BG440" i="5"/>
  <c r="BL440" i="5" s="1"/>
  <c r="BG443" i="5"/>
  <c r="BL443" i="5" s="1"/>
  <c r="BH443" i="5"/>
  <c r="BM443" i="5" s="1"/>
  <c r="BH313" i="5"/>
  <c r="BM313" i="5" s="1"/>
  <c r="BG313" i="5"/>
  <c r="BL313" i="5" s="1"/>
  <c r="BG224" i="5"/>
  <c r="BL224" i="5" s="1"/>
  <c r="BH224" i="5"/>
  <c r="BM224" i="5" s="1"/>
  <c r="BG24" i="5"/>
  <c r="BL24" i="5" s="1"/>
  <c r="BH24" i="5"/>
  <c r="BM24" i="5" s="1"/>
  <c r="BG131" i="5"/>
  <c r="BL131" i="5" s="1"/>
  <c r="BH131" i="5"/>
  <c r="BM131" i="5" s="1"/>
  <c r="BH108" i="5"/>
  <c r="BM108" i="5" s="1"/>
  <c r="BG108" i="5"/>
  <c r="BL108" i="5" s="1"/>
  <c r="BH84" i="5"/>
  <c r="BM84" i="5" s="1"/>
  <c r="BG84" i="5"/>
  <c r="BL84" i="5" s="1"/>
  <c r="BG30" i="5"/>
  <c r="BL30" i="5" s="1"/>
  <c r="BH30" i="5"/>
  <c r="BM30" i="5" s="1"/>
  <c r="BH451" i="5"/>
  <c r="BM451" i="5" s="1"/>
  <c r="BG451" i="5"/>
  <c r="BL451" i="5" s="1"/>
  <c r="BH123" i="5"/>
  <c r="BM123" i="5" s="1"/>
  <c r="BG123" i="5"/>
  <c r="BL123" i="5" s="1"/>
  <c r="BH350" i="5"/>
  <c r="BM350" i="5" s="1"/>
  <c r="BG350" i="5"/>
  <c r="BL350" i="5" s="1"/>
  <c r="BH444" i="5"/>
  <c r="BM444" i="5" s="1"/>
  <c r="BG444" i="5"/>
  <c r="BL444" i="5" s="1"/>
  <c r="BG306" i="5"/>
  <c r="BL306" i="5" s="1"/>
  <c r="BH306" i="5"/>
  <c r="BM306" i="5" s="1"/>
  <c r="BH530" i="5"/>
  <c r="BM530" i="5" s="1"/>
  <c r="BG530" i="5"/>
  <c r="BL530" i="5" s="1"/>
  <c r="BH155" i="5"/>
  <c r="BM155" i="5" s="1"/>
  <c r="BG155" i="5"/>
  <c r="BL155" i="5" s="1"/>
  <c r="BH323" i="5"/>
  <c r="BM323" i="5" s="1"/>
  <c r="BG323" i="5"/>
  <c r="BL323" i="5" s="1"/>
  <c r="BH346" i="5"/>
  <c r="BM346" i="5" s="1"/>
  <c r="BG346" i="5"/>
  <c r="BL346" i="5" s="1"/>
  <c r="BG301" i="5"/>
  <c r="BL301" i="5" s="1"/>
  <c r="BH301" i="5"/>
  <c r="BM301" i="5" s="1"/>
  <c r="BG458" i="5"/>
  <c r="BL458" i="5" s="1"/>
  <c r="BH458" i="5"/>
  <c r="BM458" i="5" s="1"/>
  <c r="BH181" i="5"/>
  <c r="BM181" i="5" s="1"/>
  <c r="BG181" i="5"/>
  <c r="BL181" i="5" s="1"/>
  <c r="BG198" i="5"/>
  <c r="BL198" i="5" s="1"/>
  <c r="BH198" i="5"/>
  <c r="BM198" i="5" s="1"/>
  <c r="BH89" i="5"/>
  <c r="BM89" i="5" s="1"/>
  <c r="BG89" i="5"/>
  <c r="BL89" i="5" s="1"/>
  <c r="BG177" i="5"/>
  <c r="BL177" i="5" s="1"/>
  <c r="BH177" i="5"/>
  <c r="BM177" i="5" s="1"/>
  <c r="BG427" i="5"/>
  <c r="BL427" i="5" s="1"/>
  <c r="BH427" i="5"/>
  <c r="BM427" i="5" s="1"/>
  <c r="BG539" i="5"/>
  <c r="BL539" i="5" s="1"/>
  <c r="BH539" i="5"/>
  <c r="BM539" i="5" s="1"/>
  <c r="BG450" i="5"/>
  <c r="BL450" i="5" s="1"/>
  <c r="BH450" i="5"/>
  <c r="BM450" i="5" s="1"/>
  <c r="BH120" i="5"/>
  <c r="BM120" i="5" s="1"/>
  <c r="BG120" i="5"/>
  <c r="BL120" i="5" s="1"/>
  <c r="BH488" i="5"/>
  <c r="BM488" i="5" s="1"/>
  <c r="BG488" i="5"/>
  <c r="BL488" i="5" s="1"/>
  <c r="BG234" i="5"/>
  <c r="BL234" i="5" s="1"/>
  <c r="BH234" i="5"/>
  <c r="BM234" i="5" s="1"/>
  <c r="BH558" i="5"/>
  <c r="BM558" i="5" s="1"/>
  <c r="BG558" i="5"/>
  <c r="BL558" i="5" s="1"/>
  <c r="BH238" i="5"/>
  <c r="BM238" i="5" s="1"/>
  <c r="BG238" i="5"/>
  <c r="BL238" i="5" s="1"/>
  <c r="BH461" i="5"/>
  <c r="BM461" i="5" s="1"/>
  <c r="BG461" i="5"/>
  <c r="BL461" i="5" s="1"/>
  <c r="BH190" i="5"/>
  <c r="BM190" i="5" s="1"/>
  <c r="BG190" i="5"/>
  <c r="BL190" i="5" s="1"/>
  <c r="BH118" i="5"/>
  <c r="BM118" i="5" s="1"/>
  <c r="BG118" i="5"/>
  <c r="BL118" i="5" s="1"/>
  <c r="BH397" i="5"/>
  <c r="BM397" i="5" s="1"/>
  <c r="BG397" i="5"/>
  <c r="BL397" i="5" s="1"/>
  <c r="BH22" i="5"/>
  <c r="BM22" i="5" s="1"/>
  <c r="BG22" i="5"/>
  <c r="BL22" i="5" s="1"/>
  <c r="BG269" i="5"/>
  <c r="BL269" i="5" s="1"/>
  <c r="BH269" i="5"/>
  <c r="BM269" i="5" s="1"/>
  <c r="BH320" i="5"/>
  <c r="BM320" i="5" s="1"/>
  <c r="BG320" i="5"/>
  <c r="BL320" i="5" s="1"/>
  <c r="BG132" i="5"/>
  <c r="BL132" i="5" s="1"/>
  <c r="BH132" i="5"/>
  <c r="BM132" i="5" s="1"/>
  <c r="BG214" i="5"/>
  <c r="BL214" i="5" s="1"/>
  <c r="BH214" i="5"/>
  <c r="BM214" i="5" s="1"/>
  <c r="BG125" i="5"/>
  <c r="BL125" i="5" s="1"/>
  <c r="BH125" i="5"/>
  <c r="BM125" i="5" s="1"/>
  <c r="BG377" i="5"/>
  <c r="BL377" i="5" s="1"/>
  <c r="BH377" i="5"/>
  <c r="BM377" i="5" s="1"/>
  <c r="BG419" i="5"/>
  <c r="BL419" i="5" s="1"/>
  <c r="BH419" i="5"/>
  <c r="BM419" i="5" s="1"/>
  <c r="BH540" i="5"/>
  <c r="BM540" i="5" s="1"/>
  <c r="BG540" i="5"/>
  <c r="BL540" i="5" s="1"/>
  <c r="BG357" i="5"/>
  <c r="BL357" i="5" s="1"/>
  <c r="BH357" i="5"/>
  <c r="BM357" i="5" s="1"/>
  <c r="BH294" i="5"/>
  <c r="BM294" i="5" s="1"/>
  <c r="BG294" i="5"/>
  <c r="BL294" i="5" s="1"/>
  <c r="BG337" i="5"/>
  <c r="BL337" i="5" s="1"/>
  <c r="BH337" i="5"/>
  <c r="BM337" i="5" s="1"/>
  <c r="BH441" i="5"/>
  <c r="BM441" i="5" s="1"/>
  <c r="BG441" i="5"/>
  <c r="BL441" i="5" s="1"/>
  <c r="BH537" i="5"/>
  <c r="BM537" i="5" s="1"/>
  <c r="BG537" i="5"/>
  <c r="BL537" i="5" s="1"/>
  <c r="BG369" i="5"/>
  <c r="BL369" i="5" s="1"/>
  <c r="BH369" i="5"/>
  <c r="BM369" i="5" s="1"/>
  <c r="BH560" i="5"/>
  <c r="BM560" i="5" s="1"/>
  <c r="BG560" i="5"/>
  <c r="BL560" i="5" s="1"/>
  <c r="BG518" i="5"/>
  <c r="BL518" i="5" s="1"/>
  <c r="BH518" i="5"/>
  <c r="BM518" i="5" s="1"/>
  <c r="BG249" i="5"/>
  <c r="BL249" i="5" s="1"/>
  <c r="BH249" i="5"/>
  <c r="BM249" i="5" s="1"/>
  <c r="BH494" i="5"/>
  <c r="BM494" i="5" s="1"/>
  <c r="BG494" i="5"/>
  <c r="BL494" i="5" s="1"/>
  <c r="BH239" i="5"/>
  <c r="BM239" i="5" s="1"/>
  <c r="BG239" i="5"/>
  <c r="BL239" i="5" s="1"/>
  <c r="BH398" i="5"/>
  <c r="BM398" i="5" s="1"/>
  <c r="BG398" i="5"/>
  <c r="BL398" i="5" s="1"/>
  <c r="BG340" i="5"/>
  <c r="BL340" i="5" s="1"/>
  <c r="BH340" i="5"/>
  <c r="BM340" i="5" s="1"/>
  <c r="BG365" i="5"/>
  <c r="BL365" i="5" s="1"/>
  <c r="BH365" i="5"/>
  <c r="BM365" i="5" s="1"/>
  <c r="BH263" i="5"/>
  <c r="BM263" i="5" s="1"/>
  <c r="BG263" i="5"/>
  <c r="BL263" i="5" s="1"/>
  <c r="BG285" i="5"/>
  <c r="BL285" i="5" s="1"/>
  <c r="BH285" i="5"/>
  <c r="BM285" i="5" s="1"/>
  <c r="BH476" i="5"/>
  <c r="BM476" i="5" s="1"/>
  <c r="BG476" i="5"/>
  <c r="BL476" i="5" s="1"/>
  <c r="BG307" i="5"/>
  <c r="BL307" i="5" s="1"/>
  <c r="BH307" i="5"/>
  <c r="BM307" i="5" s="1"/>
  <c r="BG435" i="5"/>
  <c r="BL435" i="5" s="1"/>
  <c r="BH435" i="5"/>
  <c r="BM435" i="5" s="1"/>
  <c r="BG171" i="5"/>
  <c r="BL171" i="5" s="1"/>
  <c r="BH171" i="5"/>
  <c r="BM171" i="5" s="1"/>
  <c r="BH557" i="5"/>
  <c r="BM557" i="5" s="1"/>
  <c r="BG557" i="5"/>
  <c r="BL557" i="5" s="1"/>
  <c r="BG420" i="5"/>
  <c r="BL420" i="5" s="1"/>
  <c r="BH420" i="5"/>
  <c r="BM420" i="5" s="1"/>
  <c r="BG425" i="5"/>
  <c r="BL425" i="5" s="1"/>
  <c r="BH425" i="5"/>
  <c r="BM425" i="5" s="1"/>
  <c r="BG220" i="5"/>
  <c r="BL220" i="5" s="1"/>
  <c r="BH220" i="5"/>
  <c r="BM220" i="5" s="1"/>
  <c r="BG41" i="5"/>
  <c r="BL41" i="5" s="1"/>
  <c r="BH41" i="5"/>
  <c r="BM41" i="5" s="1"/>
  <c r="BG556" i="5"/>
  <c r="BL556" i="5" s="1"/>
  <c r="BH556" i="5"/>
  <c r="BM556" i="5" s="1"/>
  <c r="BG284" i="5"/>
  <c r="BL284" i="5" s="1"/>
  <c r="BH284" i="5"/>
  <c r="BM284" i="5" s="1"/>
  <c r="BH63" i="5"/>
  <c r="BM63" i="5" s="1"/>
  <c r="BG63" i="5"/>
  <c r="BL63" i="5" s="1"/>
  <c r="BG366" i="5"/>
  <c r="BL366" i="5" s="1"/>
  <c r="BH366" i="5"/>
  <c r="BM366" i="5" s="1"/>
  <c r="BG327" i="5"/>
  <c r="BL327" i="5" s="1"/>
  <c r="BH327" i="5"/>
  <c r="BM327" i="5" s="1"/>
  <c r="BH72" i="5"/>
  <c r="BM72" i="5" s="1"/>
  <c r="BG72" i="5"/>
  <c r="BL72" i="5" s="1"/>
  <c r="BG160" i="5"/>
  <c r="BL160" i="5" s="1"/>
  <c r="BH160" i="5"/>
  <c r="BM160" i="5" s="1"/>
  <c r="BH524" i="5"/>
  <c r="BM524" i="5" s="1"/>
  <c r="BG524" i="5"/>
  <c r="BL524" i="5" s="1"/>
  <c r="BH135" i="5"/>
  <c r="BM135" i="5" s="1"/>
  <c r="BG135" i="5"/>
  <c r="BL135" i="5" s="1"/>
  <c r="BG312" i="5"/>
  <c r="BL312" i="5" s="1"/>
  <c r="BH312" i="5"/>
  <c r="BM312" i="5" s="1"/>
  <c r="BH102" i="5"/>
  <c r="BM102" i="5" s="1"/>
  <c r="BG102" i="5"/>
  <c r="BL102" i="5" s="1"/>
  <c r="BH467" i="5"/>
  <c r="BM467" i="5" s="1"/>
  <c r="BG467" i="5"/>
  <c r="BL467" i="5" s="1"/>
  <c r="BH464" i="5"/>
  <c r="BM464" i="5" s="1"/>
  <c r="BG464" i="5"/>
  <c r="BL464" i="5" s="1"/>
  <c r="BH387" i="5"/>
  <c r="BM387" i="5" s="1"/>
  <c r="BG387" i="5"/>
  <c r="BL387" i="5" s="1"/>
  <c r="BG116" i="5"/>
  <c r="BL116" i="5" s="1"/>
  <c r="BH116" i="5"/>
  <c r="BM116" i="5" s="1"/>
  <c r="BH528" i="5"/>
  <c r="BM528" i="5" s="1"/>
  <c r="BG528" i="5"/>
  <c r="BL528" i="5" s="1"/>
  <c r="BH300" i="5"/>
  <c r="BM300" i="5" s="1"/>
  <c r="BG300" i="5"/>
  <c r="BL300" i="5" s="1"/>
  <c r="BG42" i="5"/>
  <c r="BL42" i="5" s="1"/>
  <c r="BH42" i="5"/>
  <c r="BM42" i="5" s="1"/>
  <c r="BG242" i="5"/>
  <c r="BL242" i="5" s="1"/>
  <c r="BH242" i="5"/>
  <c r="BM242" i="5" s="1"/>
  <c r="BG447" i="5"/>
  <c r="BL447" i="5" s="1"/>
  <c r="BH447" i="5"/>
  <c r="BM447" i="5" s="1"/>
  <c r="BG35" i="5"/>
  <c r="BL35" i="5" s="1"/>
  <c r="BH35" i="5"/>
  <c r="BM35" i="5" s="1"/>
  <c r="BG188" i="5"/>
  <c r="BL188" i="5" s="1"/>
  <c r="BH188" i="5"/>
  <c r="BM188" i="5" s="1"/>
  <c r="BG219" i="5"/>
  <c r="BL219" i="5" s="1"/>
  <c r="BH219" i="5"/>
  <c r="BM219" i="5" s="1"/>
  <c r="BG54" i="5"/>
  <c r="BL54" i="5" s="1"/>
  <c r="BH54" i="5"/>
  <c r="BM54" i="5" s="1"/>
  <c r="BG481" i="5"/>
  <c r="BL481" i="5" s="1"/>
  <c r="BH481" i="5"/>
  <c r="BM481" i="5" s="1"/>
  <c r="BG538" i="5"/>
  <c r="BL538" i="5" s="1"/>
  <c r="BH538" i="5"/>
  <c r="BM538" i="5" s="1"/>
  <c r="BH370" i="5"/>
  <c r="BM370" i="5" s="1"/>
  <c r="BG370" i="5"/>
  <c r="BL370" i="5" s="1"/>
  <c r="BG144" i="5"/>
  <c r="BL144" i="5" s="1"/>
  <c r="BH144" i="5"/>
  <c r="BM144" i="5" s="1"/>
  <c r="BH413" i="5"/>
  <c r="BM413" i="5" s="1"/>
  <c r="BG413" i="5"/>
  <c r="BL413" i="5" s="1"/>
  <c r="BG456" i="5"/>
  <c r="BL456" i="5" s="1"/>
  <c r="BH456" i="5"/>
  <c r="BM456" i="5" s="1"/>
  <c r="BG48" i="5"/>
  <c r="BL48" i="5" s="1"/>
  <c r="BH48" i="5"/>
  <c r="BM48" i="5" s="1"/>
  <c r="BH493" i="5"/>
  <c r="BM493" i="5" s="1"/>
  <c r="BG493" i="5"/>
  <c r="BL493" i="5" s="1"/>
  <c r="BH388" i="5"/>
  <c r="BM388" i="5" s="1"/>
  <c r="BG388" i="5"/>
  <c r="BL388" i="5" s="1"/>
  <c r="BG295" i="5"/>
  <c r="BL295" i="5" s="1"/>
  <c r="BH295" i="5"/>
  <c r="BM295" i="5" s="1"/>
  <c r="BH253" i="5"/>
  <c r="BM253" i="5" s="1"/>
  <c r="BG253" i="5"/>
  <c r="BL253" i="5" s="1"/>
  <c r="BG544" i="5"/>
  <c r="BL544" i="5" s="1"/>
  <c r="BH544" i="5"/>
  <c r="BM544" i="5" s="1"/>
  <c r="BG210" i="5"/>
  <c r="BL210" i="5" s="1"/>
  <c r="BH210" i="5"/>
  <c r="BM210" i="5" s="1"/>
  <c r="BH232" i="5"/>
  <c r="BM232" i="5" s="1"/>
  <c r="BG232" i="5"/>
  <c r="BL232" i="5" s="1"/>
  <c r="BG318" i="5"/>
  <c r="BL318" i="5" s="1"/>
  <c r="BH318" i="5"/>
  <c r="BM318" i="5" s="1"/>
  <c r="BH516" i="5"/>
  <c r="BM516" i="5" s="1"/>
  <c r="BG516" i="5"/>
  <c r="BL516" i="5" s="1"/>
  <c r="BH20" i="5"/>
  <c r="BM20" i="5" s="1"/>
  <c r="BG20" i="5"/>
  <c r="BL20" i="5" s="1"/>
  <c r="BH182" i="5"/>
  <c r="BM182" i="5" s="1"/>
  <c r="BG182" i="5"/>
  <c r="BL182" i="5" s="1"/>
  <c r="BH470" i="5"/>
  <c r="BM470" i="5" s="1"/>
  <c r="BG470" i="5"/>
  <c r="BL470" i="5" s="1"/>
  <c r="BH383" i="5"/>
  <c r="BM383" i="5" s="1"/>
  <c r="BG383" i="5"/>
  <c r="BL383" i="5" s="1"/>
  <c r="BH479" i="5"/>
  <c r="BM479" i="5" s="1"/>
  <c r="BG479" i="5"/>
  <c r="BL479" i="5" s="1"/>
  <c r="BG297" i="5"/>
  <c r="BL297" i="5" s="1"/>
  <c r="BH297" i="5"/>
  <c r="BM297" i="5" s="1"/>
  <c r="BH103" i="5"/>
  <c r="BM103" i="5" s="1"/>
  <c r="BG103" i="5"/>
  <c r="BL103" i="5" s="1"/>
  <c r="BH361" i="5"/>
  <c r="BM361" i="5" s="1"/>
  <c r="BG361" i="5"/>
  <c r="BL361" i="5" s="1"/>
  <c r="BG52" i="5"/>
  <c r="BL52" i="5" s="1"/>
  <c r="BH52" i="5"/>
  <c r="BM52" i="5" s="1"/>
  <c r="BH436" i="5"/>
  <c r="BM436" i="5" s="1"/>
  <c r="BG436" i="5"/>
  <c r="BL436" i="5" s="1"/>
  <c r="BG197" i="5"/>
  <c r="BL197" i="5" s="1"/>
  <c r="BH197" i="5"/>
  <c r="BM197" i="5" s="1"/>
  <c r="BG101" i="5"/>
  <c r="BL101" i="5" s="1"/>
  <c r="BH101" i="5"/>
  <c r="BM101" i="5" s="1"/>
  <c r="BG496" i="5"/>
  <c r="BL496" i="5" s="1"/>
  <c r="BH496" i="5"/>
  <c r="BM496" i="5" s="1"/>
  <c r="BG159" i="5"/>
  <c r="BL159" i="5" s="1"/>
  <c r="BH159" i="5"/>
  <c r="BM159" i="5" s="1"/>
  <c r="BG339" i="5"/>
  <c r="BL339" i="5" s="1"/>
  <c r="BH339" i="5"/>
  <c r="BM339" i="5" s="1"/>
  <c r="BG328" i="5"/>
  <c r="BL328" i="5" s="1"/>
  <c r="BH328" i="5"/>
  <c r="BM328" i="5" s="1"/>
  <c r="BD11" i="5"/>
  <c r="BE11" i="5"/>
  <c r="BG310" i="5"/>
  <c r="BL310" i="5" s="1"/>
  <c r="BH310" i="5"/>
  <c r="BM310" i="5" s="1"/>
  <c r="BG189" i="5"/>
  <c r="BL189" i="5" s="1"/>
  <c r="BH189" i="5"/>
  <c r="BM189" i="5" s="1"/>
  <c r="BG548" i="5"/>
  <c r="BL548" i="5" s="1"/>
  <c r="BH548" i="5"/>
  <c r="BM548" i="5" s="1"/>
  <c r="BG359" i="5"/>
  <c r="BL359" i="5" s="1"/>
  <c r="BH359" i="5"/>
  <c r="BM359" i="5" s="1"/>
  <c r="BG394" i="5"/>
  <c r="BL394" i="5" s="1"/>
  <c r="BH394" i="5"/>
  <c r="BM394" i="5" s="1"/>
  <c r="BG472" i="5"/>
  <c r="BL472" i="5" s="1"/>
  <c r="BH472" i="5"/>
  <c r="BM472" i="5" s="1"/>
  <c r="BG25" i="5"/>
  <c r="BL25" i="5" s="1"/>
  <c r="BH25" i="5"/>
  <c r="BM25" i="5" s="1"/>
  <c r="BG483" i="5"/>
  <c r="BL483" i="5" s="1"/>
  <c r="BH483" i="5"/>
  <c r="BM483" i="5" s="1"/>
  <c r="BH378" i="5"/>
  <c r="BM378" i="5" s="1"/>
  <c r="BG378" i="5"/>
  <c r="BL378" i="5" s="1"/>
  <c r="BH474" i="5"/>
  <c r="BM474" i="5" s="1"/>
  <c r="BG474" i="5"/>
  <c r="BL474" i="5" s="1"/>
  <c r="BH83" i="5"/>
  <c r="BM83" i="5" s="1"/>
  <c r="BG83" i="5"/>
  <c r="BL83" i="5" s="1"/>
  <c r="BH507" i="5"/>
  <c r="BM507" i="5" s="1"/>
  <c r="BG507" i="5"/>
  <c r="BL507" i="5" s="1"/>
  <c r="BG76" i="5"/>
  <c r="BL76" i="5" s="1"/>
  <c r="BH76" i="5"/>
  <c r="BM76" i="5" s="1"/>
  <c r="BH533" i="5"/>
  <c r="BM533" i="5" s="1"/>
  <c r="BG533" i="5"/>
  <c r="BL533" i="5" s="1"/>
  <c r="BG246" i="5"/>
  <c r="BL246" i="5" s="1"/>
  <c r="BH246" i="5"/>
  <c r="BM246" i="5" s="1"/>
  <c r="BG506" i="5"/>
  <c r="BL506" i="5" s="1"/>
  <c r="BH506" i="5"/>
  <c r="BM506" i="5" s="1"/>
  <c r="BG31" i="5"/>
  <c r="BL31" i="5" s="1"/>
  <c r="BH31" i="5"/>
  <c r="BM31" i="5" s="1"/>
  <c r="BG98" i="5"/>
  <c r="BL98" i="5" s="1"/>
  <c r="BH98" i="5"/>
  <c r="BM98" i="5" s="1"/>
  <c r="BG225" i="5"/>
  <c r="BL225" i="5" s="1"/>
  <c r="BH225" i="5"/>
  <c r="BM225" i="5" s="1"/>
  <c r="BH363" i="5"/>
  <c r="BM363" i="5" s="1"/>
  <c r="BG363" i="5"/>
  <c r="BL363" i="5" s="1"/>
  <c r="BH226" i="5"/>
  <c r="BM226" i="5" s="1"/>
  <c r="BG226" i="5"/>
  <c r="BL226" i="5" s="1"/>
  <c r="BG550" i="5"/>
  <c r="BL550" i="5" s="1"/>
  <c r="BH550" i="5"/>
  <c r="BM550" i="5" s="1"/>
  <c r="BH489" i="5"/>
  <c r="BM489" i="5" s="1"/>
  <c r="BG489" i="5"/>
  <c r="BL489" i="5" s="1"/>
  <c r="BH438" i="5"/>
  <c r="BM438" i="5" s="1"/>
  <c r="BG438" i="5"/>
  <c r="BL438" i="5" s="1"/>
  <c r="BH466" i="5"/>
  <c r="BM466" i="5" s="1"/>
  <c r="BG466" i="5"/>
  <c r="BL466" i="5" s="1"/>
  <c r="AQ11" i="5"/>
  <c r="BI11" i="5"/>
  <c r="AR11" i="5"/>
  <c r="BH527" i="5"/>
  <c r="BM527" i="5" s="1"/>
  <c r="BG527" i="5"/>
  <c r="BL527" i="5" s="1"/>
  <c r="BG302" i="5"/>
  <c r="BL302" i="5" s="1"/>
  <c r="BH302" i="5"/>
  <c r="BM302" i="5" s="1"/>
  <c r="BH78" i="5"/>
  <c r="BM78" i="5" s="1"/>
  <c r="BG78" i="5"/>
  <c r="BL78" i="5" s="1"/>
  <c r="BH82" i="5"/>
  <c r="BM82" i="5" s="1"/>
  <c r="BG82" i="5"/>
  <c r="BL82" i="5" s="1"/>
  <c r="BH353" i="5"/>
  <c r="BM353" i="5" s="1"/>
  <c r="BG353" i="5"/>
  <c r="BL353" i="5" s="1"/>
  <c r="BG209" i="5"/>
  <c r="BL209" i="5" s="1"/>
  <c r="BH209" i="5"/>
  <c r="BM209" i="5" s="1"/>
  <c r="BH19" i="5"/>
  <c r="BM19" i="5" s="1"/>
  <c r="BG19" i="5"/>
  <c r="BL19" i="5" s="1"/>
  <c r="BG374" i="5"/>
  <c r="BL374" i="5" s="1"/>
  <c r="BH374" i="5"/>
  <c r="BM374" i="5" s="1"/>
  <c r="BH105" i="5"/>
  <c r="BM105" i="5" s="1"/>
  <c r="BG105" i="5"/>
  <c r="BL105" i="5" s="1"/>
  <c r="BG303" i="5"/>
  <c r="BL303" i="5" s="1"/>
  <c r="BH303" i="5"/>
  <c r="BM303" i="5" s="1"/>
  <c r="BG47" i="5"/>
  <c r="BL47" i="5" s="1"/>
  <c r="BH47" i="5"/>
  <c r="BM47" i="5" s="1"/>
  <c r="BH322" i="5"/>
  <c r="BM322" i="5" s="1"/>
  <c r="BG322" i="5"/>
  <c r="BL322" i="5" s="1"/>
  <c r="BG258" i="5"/>
  <c r="BL258" i="5" s="1"/>
  <c r="BH258" i="5"/>
  <c r="BM258" i="5" s="1"/>
  <c r="BG270" i="5"/>
  <c r="BL270" i="5" s="1"/>
  <c r="BH270" i="5"/>
  <c r="BM270" i="5" s="1"/>
  <c r="BG176" i="5"/>
  <c r="BL176" i="5" s="1"/>
  <c r="BH176" i="5"/>
  <c r="BM176" i="5" s="1"/>
  <c r="BH508" i="5"/>
  <c r="BM508" i="5" s="1"/>
  <c r="BG508" i="5"/>
  <c r="BL508" i="5" s="1"/>
  <c r="BG414" i="5"/>
  <c r="BL414" i="5" s="1"/>
  <c r="BH414" i="5"/>
  <c r="BM414" i="5" s="1"/>
  <c r="BH230" i="5"/>
  <c r="BM230" i="5" s="1"/>
  <c r="BG230" i="5"/>
  <c r="BL230" i="5" s="1"/>
  <c r="BH509" i="5"/>
  <c r="BM509" i="5" s="1"/>
  <c r="BG509" i="5"/>
  <c r="BL509" i="5" s="1"/>
  <c r="BG292" i="5"/>
  <c r="BL292" i="5" s="1"/>
  <c r="BH292" i="5"/>
  <c r="BM292" i="5" s="1"/>
  <c r="BG446" i="5"/>
  <c r="BL446" i="5" s="1"/>
  <c r="BH446" i="5"/>
  <c r="BM446" i="5" s="1"/>
  <c r="BH422" i="5"/>
  <c r="BM422" i="5" s="1"/>
  <c r="BG422" i="5"/>
  <c r="BL422" i="5" s="1"/>
  <c r="BG43" i="5"/>
  <c r="BL43" i="5" s="1"/>
  <c r="BH43" i="5"/>
  <c r="BM43" i="5" s="1"/>
  <c r="BG91" i="5"/>
  <c r="BL91" i="5" s="1"/>
  <c r="BH91" i="5"/>
  <c r="BM91" i="5" s="1"/>
  <c r="BH37" i="5"/>
  <c r="BM37" i="5" s="1"/>
  <c r="BG37" i="5"/>
  <c r="BL37" i="5" s="1"/>
  <c r="BH248" i="5"/>
  <c r="BM248" i="5" s="1"/>
  <c r="BG248" i="5"/>
  <c r="BL248" i="5" s="1"/>
  <c r="BH529" i="5"/>
  <c r="BM529" i="5" s="1"/>
  <c r="BG529" i="5"/>
  <c r="BL529" i="5" s="1"/>
  <c r="BG354" i="5"/>
  <c r="BL354" i="5" s="1"/>
  <c r="BH354" i="5"/>
  <c r="BM354" i="5" s="1"/>
  <c r="BH255" i="5"/>
  <c r="BM255" i="5" s="1"/>
  <c r="BG255" i="5"/>
  <c r="BL255" i="5" s="1"/>
  <c r="BG121" i="5"/>
  <c r="BL121" i="5" s="1"/>
  <c r="BH121" i="5"/>
  <c r="BM121" i="5" s="1"/>
  <c r="BH124" i="5"/>
  <c r="BM124" i="5" s="1"/>
  <c r="BG124" i="5"/>
  <c r="BL124" i="5" s="1"/>
  <c r="BG402" i="5"/>
  <c r="BL402" i="5" s="1"/>
  <c r="BH402" i="5"/>
  <c r="BM402" i="5" s="1"/>
  <c r="BH324" i="5"/>
  <c r="BM324" i="5" s="1"/>
  <c r="BG324" i="5"/>
  <c r="BL324" i="5" s="1"/>
  <c r="BG283" i="5"/>
  <c r="BL283" i="5" s="1"/>
  <c r="BH283" i="5"/>
  <c r="BM283" i="5" s="1"/>
  <c r="BG251" i="5"/>
  <c r="BL251" i="5" s="1"/>
  <c r="BH251" i="5"/>
  <c r="BM251" i="5" s="1"/>
  <c r="BG291" i="5"/>
  <c r="BL291" i="5" s="1"/>
  <c r="BH291" i="5"/>
  <c r="BM291" i="5" s="1"/>
  <c r="BG343" i="5"/>
  <c r="BL343" i="5" s="1"/>
  <c r="BH343" i="5"/>
  <c r="BM343" i="5" s="1"/>
  <c r="BG65" i="5"/>
  <c r="BL65" i="5" s="1"/>
  <c r="BH65" i="5"/>
  <c r="BM65" i="5" s="1"/>
  <c r="BH331" i="5"/>
  <c r="BM331" i="5" s="1"/>
  <c r="BG331" i="5"/>
  <c r="BL331" i="5" s="1"/>
  <c r="BG316" i="5"/>
  <c r="BL316" i="5" s="1"/>
  <c r="BH316" i="5"/>
  <c r="BM316" i="5" s="1"/>
  <c r="BG522" i="5"/>
  <c r="BL522" i="5" s="1"/>
  <c r="BH522" i="5"/>
  <c r="BM522" i="5" s="1"/>
  <c r="BG70" i="5"/>
  <c r="BL70" i="5" s="1"/>
  <c r="BH70" i="5"/>
  <c r="BM70" i="5" s="1"/>
  <c r="BH12" i="5"/>
  <c r="BM12" i="5" s="1"/>
  <c r="BG12" i="5"/>
  <c r="BL12" i="5" s="1"/>
  <c r="BG186" i="5"/>
  <c r="BL186" i="5" s="1"/>
  <c r="BH186" i="5"/>
  <c r="BM186" i="5" s="1"/>
  <c r="BG66" i="5"/>
  <c r="BL66" i="5" s="1"/>
  <c r="BH66" i="5"/>
  <c r="BM66" i="5" s="1"/>
  <c r="BG325" i="5"/>
  <c r="BL325" i="5" s="1"/>
  <c r="BH325" i="5"/>
  <c r="BM325" i="5" s="1"/>
  <c r="BG268" i="5"/>
  <c r="BL268" i="5" s="1"/>
  <c r="BH268" i="5"/>
  <c r="BM268" i="5" s="1"/>
  <c r="BG217" i="5"/>
  <c r="BL217" i="5" s="1"/>
  <c r="BH217" i="5"/>
  <c r="BM217" i="5" s="1"/>
  <c r="BG430" i="5"/>
  <c r="BL430" i="5" s="1"/>
  <c r="BH430" i="5"/>
  <c r="BM430" i="5" s="1"/>
  <c r="BH410" i="5"/>
  <c r="BM410" i="5" s="1"/>
  <c r="BG410" i="5"/>
  <c r="BL410" i="5" s="1"/>
  <c r="BG534" i="5"/>
  <c r="BL534" i="5" s="1"/>
  <c r="BH534" i="5"/>
  <c r="BM534" i="5" s="1"/>
  <c r="BH202" i="5"/>
  <c r="BM202" i="5" s="1"/>
  <c r="BG202" i="5"/>
  <c r="BL202" i="5" s="1"/>
  <c r="BG498" i="5"/>
  <c r="BL498" i="5" s="1"/>
  <c r="BH498" i="5"/>
  <c r="BM498" i="5" s="1"/>
  <c r="BG40" i="5"/>
  <c r="BL40" i="5" s="1"/>
  <c r="BH40" i="5"/>
  <c r="BM40" i="5" s="1"/>
  <c r="BG109" i="5"/>
  <c r="BL109" i="5" s="1"/>
  <c r="BH109" i="5"/>
  <c r="BM109" i="5" s="1"/>
  <c r="BG504" i="5"/>
  <c r="BL504" i="5" s="1"/>
  <c r="BH504" i="5"/>
  <c r="BM504" i="5" s="1"/>
  <c r="BG256" i="5"/>
  <c r="BL256" i="5" s="1"/>
  <c r="BH256" i="5"/>
  <c r="BM256" i="5" s="1"/>
  <c r="BH172" i="5"/>
  <c r="BM172" i="5" s="1"/>
  <c r="BG172" i="5"/>
  <c r="BL172" i="5" s="1"/>
  <c r="BH348" i="5"/>
  <c r="BM348" i="5" s="1"/>
  <c r="BG348" i="5"/>
  <c r="BL348" i="5" s="1"/>
  <c r="BH218" i="5"/>
  <c r="BM218" i="5" s="1"/>
  <c r="BG218" i="5"/>
  <c r="BL218" i="5" s="1"/>
  <c r="BG392" i="5"/>
  <c r="BL392" i="5" s="1"/>
  <c r="BH392" i="5"/>
  <c r="BM392" i="5" s="1"/>
  <c r="BH250" i="5"/>
  <c r="BM250" i="5" s="1"/>
  <c r="BG250" i="5"/>
  <c r="BL250" i="5" s="1"/>
  <c r="BH321" i="5"/>
  <c r="BM321" i="5" s="1"/>
  <c r="BG321" i="5"/>
  <c r="BL321" i="5" s="1"/>
  <c r="BG168" i="5"/>
  <c r="BL168" i="5" s="1"/>
  <c r="BH168" i="5"/>
  <c r="BM168" i="5" s="1"/>
  <c r="BG477" i="5"/>
  <c r="BL477" i="5" s="1"/>
  <c r="BH477" i="5"/>
  <c r="BM477" i="5" s="1"/>
  <c r="BG231" i="5"/>
  <c r="BL231" i="5" s="1"/>
  <c r="BH231" i="5"/>
  <c r="BM231" i="5" s="1"/>
  <c r="BH482" i="5"/>
  <c r="BM482" i="5" s="1"/>
  <c r="BG482" i="5"/>
  <c r="BL482" i="5" s="1"/>
  <c r="BG429" i="5"/>
  <c r="BL429" i="5" s="1"/>
  <c r="BH429" i="5"/>
  <c r="BM429" i="5" s="1"/>
  <c r="BG254" i="5"/>
  <c r="BL254" i="5" s="1"/>
  <c r="BH254" i="5"/>
  <c r="BM254" i="5" s="1"/>
  <c r="BH92" i="5"/>
  <c r="BM92" i="5" s="1"/>
  <c r="BG92" i="5"/>
  <c r="BL92" i="5" s="1"/>
  <c r="BG228" i="5"/>
  <c r="BL228" i="5" s="1"/>
  <c r="BH228" i="5"/>
  <c r="BM228" i="5" s="1"/>
  <c r="BH173" i="5"/>
  <c r="BM173" i="5" s="1"/>
  <c r="BG173" i="5"/>
  <c r="BL173" i="5" s="1"/>
  <c r="BG288" i="5"/>
  <c r="BL288" i="5" s="1"/>
  <c r="BH288" i="5"/>
  <c r="BM288" i="5" s="1"/>
  <c r="BH128" i="5"/>
  <c r="BM128" i="5" s="1"/>
  <c r="BG128" i="5"/>
  <c r="BL128" i="5" s="1"/>
  <c r="BH207" i="5"/>
  <c r="BM207" i="5" s="1"/>
  <c r="BG207" i="5"/>
  <c r="BL207" i="5" s="1"/>
  <c r="BG279" i="5"/>
  <c r="BL279" i="5" s="1"/>
  <c r="BH279" i="5"/>
  <c r="BM279" i="5" s="1"/>
  <c r="BG437" i="5"/>
  <c r="BL437" i="5" s="1"/>
  <c r="BH437" i="5"/>
  <c r="BM437" i="5" s="1"/>
  <c r="BG334" i="5"/>
  <c r="BL334" i="5" s="1"/>
  <c r="BH334" i="5"/>
  <c r="BM334" i="5" s="1"/>
  <c r="BG552" i="5"/>
  <c r="BL552" i="5" s="1"/>
  <c r="BH552" i="5"/>
  <c r="BM552" i="5" s="1"/>
  <c r="BG104" i="5"/>
  <c r="BL104" i="5" s="1"/>
  <c r="BH104" i="5"/>
  <c r="BM104" i="5" s="1"/>
  <c r="BG531" i="5"/>
  <c r="BL531" i="5" s="1"/>
  <c r="BH531" i="5"/>
  <c r="BM531" i="5" s="1"/>
  <c r="BG38" i="5"/>
  <c r="BL38" i="5" s="1"/>
  <c r="BH38" i="5"/>
  <c r="BM38" i="5" s="1"/>
  <c r="BH97" i="5"/>
  <c r="BM97" i="5" s="1"/>
  <c r="BG97" i="5"/>
  <c r="BL97" i="5" s="1"/>
  <c r="BH96" i="5"/>
  <c r="BM96" i="5" s="1"/>
  <c r="BG96" i="5"/>
  <c r="BL96" i="5" s="1"/>
  <c r="BH26" i="5"/>
  <c r="BM26" i="5" s="1"/>
  <c r="BG26" i="5"/>
  <c r="BL26" i="5" s="1"/>
  <c r="BG183" i="5"/>
  <c r="BL183" i="5" s="1"/>
  <c r="BH183" i="5"/>
  <c r="BM183" i="5" s="1"/>
  <c r="BH559" i="5"/>
  <c r="BM559" i="5" s="1"/>
  <c r="BG559" i="5"/>
  <c r="BL559" i="5" s="1"/>
  <c r="BH39" i="5"/>
  <c r="BM39" i="5" s="1"/>
  <c r="BG39" i="5"/>
  <c r="BL39" i="5" s="1"/>
  <c r="BH517" i="5"/>
  <c r="BM517" i="5" s="1"/>
  <c r="BG517" i="5"/>
  <c r="BL517" i="5" s="1"/>
  <c r="BH99" i="5"/>
  <c r="BM99" i="5" s="1"/>
  <c r="BG99" i="5"/>
  <c r="BL99" i="5" s="1"/>
  <c r="BG525" i="5"/>
  <c r="BL525" i="5" s="1"/>
  <c r="BH525" i="5"/>
  <c r="BM525" i="5" s="1"/>
  <c r="BG59" i="5"/>
  <c r="BL59" i="5" s="1"/>
  <c r="BH59" i="5"/>
  <c r="BM59" i="5" s="1"/>
  <c r="BG169" i="5"/>
  <c r="BL169" i="5" s="1"/>
  <c r="BH169" i="5"/>
  <c r="BM169" i="5" s="1"/>
  <c r="BG146" i="5"/>
  <c r="BL146" i="5" s="1"/>
  <c r="BH146" i="5"/>
  <c r="BM146" i="5" s="1"/>
  <c r="BH274" i="5"/>
  <c r="BM274" i="5" s="1"/>
  <c r="BG274" i="5"/>
  <c r="BL274" i="5" s="1"/>
  <c r="BH523" i="5"/>
  <c r="BM523" i="5" s="1"/>
  <c r="BG523" i="5"/>
  <c r="BL523" i="5" s="1"/>
  <c r="BG229" i="5"/>
  <c r="BL229" i="5" s="1"/>
  <c r="BH229" i="5"/>
  <c r="BM229" i="5" s="1"/>
  <c r="BH495" i="5"/>
  <c r="BM495" i="5" s="1"/>
  <c r="BG495" i="5"/>
  <c r="BL495" i="5" s="1"/>
  <c r="BH329" i="5"/>
  <c r="BM329" i="5" s="1"/>
  <c r="BG329" i="5"/>
  <c r="BL329" i="5" s="1"/>
  <c r="BH554" i="5"/>
  <c r="BM554" i="5" s="1"/>
  <c r="BG554" i="5"/>
  <c r="BL554" i="5" s="1"/>
  <c r="BG75" i="5"/>
  <c r="BL75" i="5" s="1"/>
  <c r="BH75" i="5"/>
  <c r="BM75" i="5" s="1"/>
  <c r="BH546" i="5"/>
  <c r="BM546" i="5" s="1"/>
  <c r="BG546" i="5"/>
  <c r="BL546" i="5" s="1"/>
  <c r="BH484" i="5"/>
  <c r="BM484" i="5" s="1"/>
  <c r="BG484" i="5"/>
  <c r="BL484" i="5" s="1"/>
  <c r="BH174" i="5"/>
  <c r="BM174" i="5" s="1"/>
  <c r="BG174" i="5"/>
  <c r="BL174" i="5" s="1"/>
  <c r="BH471" i="5"/>
  <c r="BM471" i="5" s="1"/>
  <c r="BG471" i="5"/>
  <c r="BL471" i="5" s="1"/>
  <c r="BH199" i="5"/>
  <c r="BM199" i="5" s="1"/>
  <c r="BG199" i="5"/>
  <c r="BL199" i="5" s="1"/>
  <c r="BG433" i="5"/>
  <c r="BL433" i="5" s="1"/>
  <c r="BH433" i="5"/>
  <c r="BM433" i="5" s="1"/>
  <c r="BG333" i="5"/>
  <c r="BL333" i="5" s="1"/>
  <c r="BH333" i="5"/>
  <c r="BM333" i="5" s="1"/>
  <c r="BH95" i="5"/>
  <c r="BM95" i="5" s="1"/>
  <c r="BG95" i="5"/>
  <c r="BL95" i="5" s="1"/>
  <c r="BG51" i="5"/>
  <c r="BL51" i="5" s="1"/>
  <c r="BH51" i="5"/>
  <c r="BM51" i="5" s="1"/>
  <c r="BH161" i="5"/>
  <c r="BM161" i="5" s="1"/>
  <c r="BG161" i="5"/>
  <c r="BL161" i="5" s="1"/>
  <c r="BH240" i="5"/>
  <c r="BM240" i="5" s="1"/>
  <c r="BG240" i="5"/>
  <c r="BL240" i="5" s="1"/>
  <c r="BH492" i="5"/>
  <c r="BM492" i="5" s="1"/>
  <c r="BG492" i="5"/>
  <c r="BL492" i="5" s="1"/>
  <c r="BG403" i="5"/>
  <c r="BL403" i="5" s="1"/>
  <c r="BH403" i="5"/>
  <c r="BM403" i="5" s="1"/>
  <c r="BH475" i="5"/>
  <c r="BM475" i="5" s="1"/>
  <c r="BG475" i="5"/>
  <c r="BL475" i="5" s="1"/>
  <c r="BH213" i="5"/>
  <c r="BM213" i="5" s="1"/>
  <c r="BG213" i="5"/>
  <c r="BL213" i="5" s="1"/>
  <c r="BH49" i="5"/>
  <c r="BM49" i="5" s="1"/>
  <c r="BG49" i="5"/>
  <c r="BL49" i="5" s="1"/>
  <c r="BH281" i="5"/>
  <c r="BM281" i="5" s="1"/>
  <c r="BG281" i="5"/>
  <c r="BL281" i="5" s="1"/>
  <c r="BG382" i="5"/>
  <c r="BL382" i="5" s="1"/>
  <c r="BH382" i="5"/>
  <c r="BM382" i="5" s="1"/>
  <c r="BH257" i="5"/>
  <c r="BM257" i="5" s="1"/>
  <c r="BG257" i="5"/>
  <c r="BL257" i="5" s="1"/>
  <c r="BG390" i="5"/>
  <c r="BL390" i="5" s="1"/>
  <c r="BH390" i="5"/>
  <c r="BM390" i="5" s="1"/>
  <c r="BG463" i="5"/>
  <c r="BL463" i="5" s="1"/>
  <c r="BH463" i="5"/>
  <c r="BM463" i="5" s="1"/>
  <c r="BG379" i="5"/>
  <c r="BL379" i="5" s="1"/>
  <c r="BH379" i="5"/>
  <c r="BM379" i="5" s="1"/>
  <c r="BG276" i="5"/>
  <c r="BL276" i="5" s="1"/>
  <c r="BH276" i="5"/>
  <c r="BM276" i="5" s="1"/>
  <c r="BG13" i="5"/>
  <c r="BL13" i="5" s="1"/>
  <c r="BH13" i="5"/>
  <c r="BM13" i="5" s="1"/>
  <c r="BH442" i="5"/>
  <c r="BM442" i="5" s="1"/>
  <c r="BG442" i="5"/>
  <c r="BL442" i="5" s="1"/>
  <c r="BH149" i="5"/>
  <c r="BM149" i="5" s="1"/>
  <c r="BG149" i="5"/>
  <c r="BL149" i="5" s="1"/>
  <c r="BH34" i="5"/>
  <c r="BM34" i="5" s="1"/>
  <c r="BG34" i="5"/>
  <c r="BL34" i="5" s="1"/>
  <c r="BH129" i="5"/>
  <c r="BM129" i="5" s="1"/>
  <c r="BG129" i="5"/>
  <c r="BL129" i="5" s="1"/>
  <c r="BH386" i="5"/>
  <c r="BM386" i="5" s="1"/>
  <c r="BG386" i="5"/>
  <c r="BL386" i="5" s="1"/>
  <c r="BH404" i="5"/>
  <c r="BM404" i="5" s="1"/>
  <c r="BG404" i="5"/>
  <c r="BL404" i="5" s="1"/>
  <c r="BH192" i="5"/>
  <c r="BM192" i="5" s="1"/>
  <c r="BG192" i="5"/>
  <c r="BL192" i="5" s="1"/>
  <c r="BG196" i="5"/>
  <c r="BL196" i="5" s="1"/>
  <c r="BH196" i="5"/>
  <c r="BM196" i="5" s="1"/>
  <c r="BG536" i="5"/>
  <c r="BL536" i="5" s="1"/>
  <c r="BH536" i="5"/>
  <c r="BM536" i="5" s="1"/>
  <c r="BG305" i="5"/>
  <c r="BL305" i="5" s="1"/>
  <c r="BH305" i="5"/>
  <c r="BM305" i="5" s="1"/>
  <c r="BH223" i="5"/>
  <c r="BM223" i="5" s="1"/>
  <c r="BG223" i="5"/>
  <c r="BL223" i="5" s="1"/>
  <c r="BH33" i="5"/>
  <c r="BM33" i="5" s="1"/>
  <c r="BG33" i="5"/>
  <c r="BL33" i="5" s="1"/>
  <c r="BG87" i="5"/>
  <c r="BL87" i="5" s="1"/>
  <c r="BH87" i="5"/>
  <c r="BM87" i="5" s="1"/>
  <c r="BH341" i="5"/>
  <c r="BM341" i="5" s="1"/>
  <c r="BG341" i="5"/>
  <c r="BL341" i="5" s="1"/>
  <c r="BH133" i="5"/>
  <c r="BM133" i="5" s="1"/>
  <c r="BG133" i="5"/>
  <c r="BL133" i="5" s="1"/>
  <c r="BG356" i="5"/>
  <c r="BL356" i="5" s="1"/>
  <c r="BH356" i="5"/>
  <c r="BM356" i="5" s="1"/>
  <c r="BG371" i="5"/>
  <c r="BL371" i="5" s="1"/>
  <c r="BH371" i="5"/>
  <c r="BM371" i="5" s="1"/>
  <c r="BG460" i="5"/>
  <c r="BL460" i="5" s="1"/>
  <c r="BH460" i="5"/>
  <c r="BM460" i="5" s="1"/>
  <c r="BG395" i="5"/>
  <c r="BL395" i="5" s="1"/>
  <c r="BH395" i="5"/>
  <c r="BM395" i="5" s="1"/>
  <c r="BH407" i="5"/>
  <c r="BM407" i="5" s="1"/>
  <c r="BG407" i="5"/>
  <c r="BL407" i="5" s="1"/>
  <c r="BH505" i="5"/>
  <c r="BM505" i="5" s="1"/>
  <c r="BG505" i="5"/>
  <c r="BL505" i="5" s="1"/>
  <c r="BG393" i="5"/>
  <c r="BL393" i="5" s="1"/>
  <c r="BH393" i="5"/>
  <c r="BM393" i="5" s="1"/>
  <c r="BG352" i="5"/>
  <c r="BL352" i="5" s="1"/>
  <c r="BH352" i="5"/>
  <c r="BM352" i="5" s="1"/>
  <c r="BG282" i="5"/>
  <c r="BL282" i="5" s="1"/>
  <c r="BH282" i="5"/>
  <c r="BM282" i="5" s="1"/>
  <c r="BG145" i="5"/>
  <c r="BL145" i="5" s="1"/>
  <c r="BH145" i="5"/>
  <c r="BM145" i="5" s="1"/>
  <c r="BG126" i="5"/>
  <c r="BL126" i="5" s="1"/>
  <c r="BH126" i="5"/>
  <c r="BM126" i="5" s="1"/>
  <c r="BH85" i="5"/>
  <c r="BM85" i="5" s="1"/>
  <c r="BG85" i="5"/>
  <c r="BL85" i="5" s="1"/>
  <c r="BH311" i="5"/>
  <c r="BM311" i="5" s="1"/>
  <c r="BG311" i="5"/>
  <c r="BL311" i="5" s="1"/>
  <c r="BG58" i="5"/>
  <c r="BL58" i="5" s="1"/>
  <c r="BH58" i="5"/>
  <c r="BM58" i="5" s="1"/>
  <c r="BH423" i="5"/>
  <c r="BM423" i="5" s="1"/>
  <c r="BG423" i="5"/>
  <c r="BL423" i="5" s="1"/>
  <c r="BG71" i="5"/>
  <c r="BL71" i="5" s="1"/>
  <c r="BH71" i="5"/>
  <c r="BM71" i="5" s="1"/>
  <c r="BG553" i="5"/>
  <c r="BL553" i="5" s="1"/>
  <c r="BH553" i="5"/>
  <c r="BM553" i="5" s="1"/>
  <c r="BG221" i="5"/>
  <c r="BL221" i="5" s="1"/>
  <c r="BH221" i="5"/>
  <c r="BM221" i="5" s="1"/>
  <c r="BG278" i="5"/>
  <c r="BL278" i="5" s="1"/>
  <c r="BH278" i="5"/>
  <c r="BM278" i="5" s="1"/>
  <c r="BH376" i="5"/>
  <c r="BM376" i="5" s="1"/>
  <c r="BG376" i="5"/>
  <c r="BL376" i="5" s="1"/>
  <c r="BG499" i="5"/>
  <c r="BL499" i="5" s="1"/>
  <c r="BH499" i="5"/>
  <c r="BM499" i="5" s="1"/>
  <c r="BG408" i="5"/>
  <c r="BL408" i="5" s="1"/>
  <c r="BH408" i="5"/>
  <c r="BM408" i="5" s="1"/>
  <c r="BG373" i="5"/>
  <c r="BL373" i="5" s="1"/>
  <c r="BH373" i="5"/>
  <c r="BM373" i="5" s="1"/>
  <c r="BG119" i="5"/>
  <c r="BL119" i="5" s="1"/>
  <c r="BH119" i="5"/>
  <c r="BM119" i="5" s="1"/>
  <c r="BG272" i="5"/>
  <c r="BL272" i="5" s="1"/>
  <c r="BH272" i="5"/>
  <c r="BM272" i="5" s="1"/>
  <c r="BG64" i="5"/>
  <c r="BL64" i="5" s="1"/>
  <c r="BH64" i="5"/>
  <c r="BM64" i="5" s="1"/>
  <c r="BG180" i="5"/>
  <c r="BL180" i="5" s="1"/>
  <c r="BH180" i="5"/>
  <c r="BM180" i="5" s="1"/>
  <c r="BG179" i="5"/>
  <c r="BL179" i="5" s="1"/>
  <c r="BH179" i="5"/>
  <c r="BM179" i="5" s="1"/>
  <c r="BH216" i="5"/>
  <c r="BM216" i="5" s="1"/>
  <c r="BG216" i="5"/>
  <c r="BL216" i="5" s="1"/>
  <c r="BG23" i="5"/>
  <c r="BL23" i="5" s="1"/>
  <c r="BH23" i="5"/>
  <c r="BM23" i="5" s="1"/>
  <c r="BG267" i="5"/>
  <c r="BL267" i="5" s="1"/>
  <c r="BH267" i="5"/>
  <c r="BM267" i="5" s="1"/>
  <c r="BH449" i="5"/>
  <c r="BM449" i="5" s="1"/>
  <c r="BG449" i="5"/>
  <c r="BL449" i="5" s="1"/>
  <c r="BG457" i="5"/>
  <c r="BL457" i="5" s="1"/>
  <c r="BH457" i="5"/>
  <c r="BM457" i="5" s="1"/>
  <c r="BH162" i="5"/>
  <c r="BM162" i="5" s="1"/>
  <c r="BG162" i="5"/>
  <c r="BL162" i="5" s="1"/>
  <c r="BG473" i="5"/>
  <c r="BL473" i="5" s="1"/>
  <c r="BH473" i="5"/>
  <c r="BM473" i="5" s="1"/>
  <c r="BG421" i="5"/>
  <c r="BL421" i="5" s="1"/>
  <c r="BH421" i="5"/>
  <c r="BM421" i="5" s="1"/>
  <c r="BH415" i="5"/>
  <c r="BM415" i="5" s="1"/>
  <c r="BG415" i="5"/>
  <c r="BL415" i="5" s="1"/>
  <c r="BG280" i="5"/>
  <c r="BL280" i="5" s="1"/>
  <c r="BH280" i="5"/>
  <c r="BM280" i="5" s="1"/>
  <c r="BG490" i="5"/>
  <c r="BL490" i="5" s="1"/>
  <c r="BH490" i="5"/>
  <c r="BM490" i="5" s="1"/>
  <c r="BG480" i="5"/>
  <c r="BL480" i="5" s="1"/>
  <c r="BH480" i="5"/>
  <c r="BM480" i="5" s="1"/>
  <c r="BH156" i="5"/>
  <c r="BM156" i="5" s="1"/>
  <c r="BG156" i="5"/>
  <c r="BL156" i="5" s="1"/>
  <c r="BH289" i="5"/>
  <c r="BM289" i="5" s="1"/>
  <c r="BG289" i="5"/>
  <c r="BL289" i="5" s="1"/>
  <c r="BG551" i="5"/>
  <c r="BL551" i="5" s="1"/>
  <c r="BH551" i="5"/>
  <c r="BM551" i="5" s="1"/>
  <c r="BG309" i="5"/>
  <c r="BL309" i="5" s="1"/>
  <c r="BH309" i="5"/>
  <c r="BM309" i="5" s="1"/>
  <c r="BG10" i="5"/>
  <c r="BL10" i="5" s="1"/>
  <c r="BH10" i="5"/>
  <c r="BM10" i="5" s="1"/>
  <c r="BG259" i="5"/>
  <c r="BL259" i="5" s="1"/>
  <c r="BH259" i="5"/>
  <c r="BM259" i="5" s="1"/>
  <c r="BG396" i="5"/>
  <c r="BL396" i="5" s="1"/>
  <c r="BH396" i="5"/>
  <c r="BM396" i="5" s="1"/>
  <c r="BH296" i="5"/>
  <c r="BM296" i="5" s="1"/>
  <c r="BG296" i="5"/>
  <c r="BL296" i="5" s="1"/>
  <c r="BH55" i="5"/>
  <c r="BM55" i="5" s="1"/>
  <c r="BG55" i="5"/>
  <c r="BL55" i="5" s="1"/>
  <c r="BG194" i="5"/>
  <c r="BL194" i="5" s="1"/>
  <c r="BH194" i="5"/>
  <c r="BM194" i="5" s="1"/>
  <c r="BH543" i="5"/>
  <c r="BM543" i="5" s="1"/>
  <c r="BG543" i="5"/>
  <c r="BL543" i="5" s="1"/>
  <c r="BH332" i="5"/>
  <c r="BM332" i="5" s="1"/>
  <c r="BG332" i="5"/>
  <c r="BL332" i="5" s="1"/>
  <c r="BH406" i="5"/>
  <c r="BM406" i="5" s="1"/>
  <c r="BG406" i="5"/>
  <c r="BL406" i="5" s="1"/>
  <c r="BH286" i="5"/>
  <c r="BM286" i="5" s="1"/>
  <c r="BG286" i="5"/>
  <c r="BL286" i="5" s="1"/>
  <c r="BH448" i="5"/>
  <c r="BM448" i="5" s="1"/>
  <c r="BG448" i="5"/>
  <c r="BL448" i="5" s="1"/>
  <c r="BG344" i="5"/>
  <c r="BL344" i="5" s="1"/>
  <c r="BH344" i="5"/>
  <c r="BM344" i="5" s="1"/>
  <c r="BH439" i="5"/>
  <c r="BM439" i="5" s="1"/>
  <c r="BG439" i="5"/>
  <c r="BL439" i="5" s="1"/>
  <c r="BH158" i="5"/>
  <c r="BM158" i="5" s="1"/>
  <c r="BG158" i="5"/>
  <c r="BL158" i="5" s="1"/>
  <c r="BG184" i="5"/>
  <c r="BL184" i="5" s="1"/>
  <c r="BH184" i="5"/>
  <c r="BM184" i="5" s="1"/>
  <c r="BG298" i="5"/>
  <c r="BL298" i="5" s="1"/>
  <c r="BH298" i="5"/>
  <c r="BM298" i="5" s="1"/>
  <c r="BG56" i="5"/>
  <c r="BL56" i="5" s="1"/>
  <c r="BH56" i="5"/>
  <c r="BM56" i="5" s="1"/>
  <c r="BH514" i="5"/>
  <c r="BM514" i="5" s="1"/>
  <c r="BG514" i="5"/>
  <c r="BL514" i="5" s="1"/>
  <c r="BH299" i="5"/>
  <c r="BM299" i="5" s="1"/>
  <c r="BG299" i="5"/>
  <c r="BL299" i="5" s="1"/>
  <c r="BH167" i="5"/>
  <c r="BM167" i="5" s="1"/>
  <c r="BG167" i="5"/>
  <c r="BL167" i="5" s="1"/>
  <c r="BG235" i="5"/>
  <c r="BL235" i="5" s="1"/>
  <c r="BH235" i="5"/>
  <c r="BM235" i="5" s="1"/>
  <c r="BG317" i="5"/>
  <c r="BL317" i="5" s="1"/>
  <c r="BH317" i="5"/>
  <c r="BM317" i="5" s="1"/>
  <c r="BG342" i="5"/>
  <c r="BL342" i="5" s="1"/>
  <c r="BH342" i="5"/>
  <c r="BM342" i="5" s="1"/>
  <c r="BG252" i="5"/>
  <c r="BL252" i="5" s="1"/>
  <c r="BH252" i="5"/>
  <c r="BM252" i="5" s="1"/>
  <c r="BH526" i="5"/>
  <c r="BM526" i="5" s="1"/>
  <c r="BG526" i="5"/>
  <c r="BL526" i="5" s="1"/>
  <c r="BH112" i="5"/>
  <c r="BM112" i="5" s="1"/>
  <c r="BG112" i="5"/>
  <c r="BL112" i="5" s="1"/>
  <c r="BG185" i="5"/>
  <c r="BL185" i="5" s="1"/>
  <c r="BH185" i="5"/>
  <c r="BM185" i="5" s="1"/>
  <c r="BG245" i="5"/>
  <c r="BL245" i="5" s="1"/>
  <c r="BH245" i="5"/>
  <c r="BM245" i="5" s="1"/>
  <c r="BG8" i="5"/>
  <c r="BL8" i="5" s="1"/>
  <c r="BH8" i="5"/>
  <c r="BM8" i="5" s="1"/>
  <c r="BG94" i="5"/>
  <c r="BL94" i="5" s="1"/>
  <c r="BH94" i="5"/>
  <c r="BM94" i="5" s="1"/>
  <c r="BG351" i="5"/>
  <c r="BL351" i="5" s="1"/>
  <c r="BH351" i="5"/>
  <c r="BM351" i="5" s="1"/>
  <c r="BG452" i="5"/>
  <c r="BL452" i="5" s="1"/>
  <c r="BH452" i="5"/>
  <c r="BM452" i="5" s="1"/>
  <c r="BH432" i="5"/>
  <c r="BM432" i="5" s="1"/>
  <c r="BG432" i="5"/>
  <c r="BL432" i="5" s="1"/>
  <c r="BG287" i="5"/>
  <c r="BL287" i="5" s="1"/>
  <c r="BH287" i="5"/>
  <c r="BM287" i="5" s="1"/>
  <c r="BH21" i="5"/>
  <c r="BM21" i="5" s="1"/>
  <c r="BG21" i="5"/>
  <c r="BL21" i="5" s="1"/>
  <c r="BG541" i="5"/>
  <c r="BL541" i="5" s="1"/>
  <c r="BH541" i="5"/>
  <c r="BM541" i="5" s="1"/>
  <c r="BH345" i="5"/>
  <c r="BM345" i="5" s="1"/>
  <c r="BG345" i="5"/>
  <c r="BL345" i="5" s="1"/>
  <c r="BH157" i="5"/>
  <c r="BM157" i="5" s="1"/>
  <c r="BG157" i="5"/>
  <c r="BL157" i="5" s="1"/>
  <c r="BH205" i="5"/>
  <c r="BM205" i="5" s="1"/>
  <c r="BG205" i="5"/>
  <c r="BL205" i="5" s="1"/>
  <c r="BH510" i="5"/>
  <c r="BM510" i="5" s="1"/>
  <c r="BG510" i="5"/>
  <c r="BL510" i="5" s="1"/>
  <c r="BG358" i="5"/>
  <c r="BL358" i="5" s="1"/>
  <c r="BH358" i="5"/>
  <c r="BM358" i="5" s="1"/>
  <c r="BH142" i="5"/>
  <c r="BM142" i="5" s="1"/>
  <c r="BG142" i="5"/>
  <c r="BL142" i="5" s="1"/>
  <c r="BG140" i="5"/>
  <c r="BL140" i="5" s="1"/>
  <c r="BH140" i="5"/>
  <c r="BM140" i="5" s="1"/>
  <c r="BH409" i="5"/>
  <c r="BM409" i="5" s="1"/>
  <c r="BG409" i="5"/>
  <c r="BL409" i="5" s="1"/>
  <c r="BH27" i="5"/>
  <c r="BM27" i="5" s="1"/>
  <c r="BG27" i="5"/>
  <c r="BL27" i="5" s="1"/>
  <c r="BH520" i="5"/>
  <c r="BM520" i="5" s="1"/>
  <c r="BG520" i="5"/>
  <c r="BL520" i="5" s="1"/>
  <c r="BH136" i="5"/>
  <c r="BM136" i="5" s="1"/>
  <c r="BG136" i="5"/>
  <c r="BL136" i="5" s="1"/>
  <c r="BG532" i="5"/>
  <c r="BL532" i="5" s="1"/>
  <c r="BH532" i="5"/>
  <c r="BM532" i="5" s="1"/>
  <c r="BH412" i="5"/>
  <c r="BM412" i="5" s="1"/>
  <c r="BG412" i="5"/>
  <c r="BL412" i="5" s="1"/>
  <c r="BG417" i="5"/>
  <c r="BL417" i="5" s="1"/>
  <c r="BH417" i="5"/>
  <c r="BM417" i="5" s="1"/>
  <c r="BH349" i="5"/>
  <c r="BM349" i="5" s="1"/>
  <c r="BG349" i="5"/>
  <c r="BL349" i="5" s="1"/>
  <c r="BG195" i="5"/>
  <c r="BL195" i="5" s="1"/>
  <c r="BH195" i="5"/>
  <c r="BM195" i="5" s="1"/>
  <c r="BG164" i="5"/>
  <c r="BL164" i="5" s="1"/>
  <c r="BH164" i="5"/>
  <c r="BM164" i="5" s="1"/>
  <c r="BG110" i="5"/>
  <c r="BL110" i="5" s="1"/>
  <c r="BH110" i="5"/>
  <c r="BM110" i="5" s="1"/>
  <c r="BH137" i="5"/>
  <c r="BM137" i="5" s="1"/>
  <c r="BG137" i="5"/>
  <c r="BL137" i="5" s="1"/>
  <c r="BG469" i="5"/>
  <c r="BL469" i="5" s="1"/>
  <c r="BH469" i="5"/>
  <c r="BM469" i="5" s="1"/>
  <c r="BH275" i="5"/>
  <c r="BM275" i="5" s="1"/>
  <c r="BG275" i="5"/>
  <c r="BL275" i="5" s="1"/>
  <c r="BG545" i="5"/>
  <c r="BL545" i="5" s="1"/>
  <c r="BH545" i="5"/>
  <c r="BM545" i="5" s="1"/>
  <c r="BH486" i="5"/>
  <c r="BM486" i="5" s="1"/>
  <c r="BG486" i="5"/>
  <c r="BL486" i="5" s="1"/>
  <c r="BH203" i="5"/>
  <c r="BM203" i="5" s="1"/>
  <c r="BG203" i="5"/>
  <c r="BL203" i="5" s="1"/>
  <c r="BG191" i="5"/>
  <c r="BL191" i="5" s="1"/>
  <c r="BH191" i="5"/>
  <c r="BM191" i="5" s="1"/>
  <c r="BH93" i="5"/>
  <c r="BM93" i="5" s="1"/>
  <c r="BG93" i="5"/>
  <c r="BL93" i="5" s="1"/>
  <c r="BG236" i="5"/>
  <c r="BL236" i="5" s="1"/>
  <c r="BH236" i="5"/>
  <c r="BM236" i="5" s="1"/>
  <c r="BH212" i="5"/>
  <c r="BM212" i="5" s="1"/>
  <c r="BG212" i="5"/>
  <c r="BL212" i="5" s="1"/>
  <c r="BG227" i="5"/>
  <c r="BL227" i="5" s="1"/>
  <c r="BH227" i="5"/>
  <c r="BM227" i="5" s="1"/>
  <c r="BH114" i="5"/>
  <c r="BM114" i="5" s="1"/>
  <c r="BG114" i="5"/>
  <c r="BL114" i="5" s="1"/>
  <c r="BG511" i="5"/>
  <c r="BL511" i="5" s="1"/>
  <c r="BH511" i="5"/>
  <c r="BM511" i="5" s="1"/>
  <c r="BH204" i="5"/>
  <c r="BM204" i="5" s="1"/>
  <c r="BG204" i="5"/>
  <c r="BL204" i="5" s="1"/>
  <c r="BG555" i="5"/>
  <c r="BL555" i="5" s="1"/>
  <c r="BH555" i="5"/>
  <c r="BM555" i="5" s="1"/>
  <c r="BH61" i="5"/>
  <c r="BM61" i="5" s="1"/>
  <c r="BG61" i="5"/>
  <c r="BL61" i="5" s="1"/>
  <c r="BH465" i="5"/>
  <c r="BM465" i="5" s="1"/>
  <c r="BG465" i="5"/>
  <c r="BL465" i="5" s="1"/>
  <c r="BH90" i="5"/>
  <c r="BM90" i="5" s="1"/>
  <c r="BG90" i="5"/>
  <c r="BL90" i="5" s="1"/>
  <c r="BG9" i="5"/>
  <c r="BL9" i="5" s="1"/>
  <c r="BH9" i="5"/>
  <c r="BM9" i="5" s="1"/>
  <c r="BG375" i="5"/>
  <c r="BL375" i="5" s="1"/>
  <c r="BH375" i="5"/>
  <c r="BM375" i="5" s="1"/>
  <c r="BG338" i="5"/>
  <c r="BL338" i="5" s="1"/>
  <c r="BH338" i="5"/>
  <c r="BM338" i="5" s="1"/>
  <c r="BG80" i="5"/>
  <c r="BL80" i="5" s="1"/>
  <c r="BH80" i="5"/>
  <c r="BM80" i="5" s="1"/>
  <c r="BH380" i="5"/>
  <c r="BM380" i="5" s="1"/>
  <c r="BG380" i="5"/>
  <c r="BL380" i="5" s="1"/>
  <c r="BG113" i="5"/>
  <c r="BL113" i="5" s="1"/>
  <c r="BH113" i="5"/>
  <c r="BM113" i="5" s="1"/>
  <c r="BH62" i="5"/>
  <c r="BM62" i="5" s="1"/>
  <c r="BG62" i="5"/>
  <c r="BL62" i="5" s="1"/>
  <c r="BG405" i="5"/>
  <c r="BL405" i="5" s="1"/>
  <c r="BH405" i="5"/>
  <c r="BM405" i="5" s="1"/>
  <c r="BH46" i="5"/>
  <c r="BM46" i="5" s="1"/>
  <c r="BG46" i="5"/>
  <c r="BL46" i="5" s="1"/>
  <c r="BG304" i="5"/>
  <c r="BL304" i="5" s="1"/>
  <c r="BH304" i="5"/>
  <c r="BM304" i="5" s="1"/>
  <c r="BG355" i="5"/>
  <c r="BL355" i="5" s="1"/>
  <c r="BH355" i="5"/>
  <c r="BM355" i="5" s="1"/>
  <c r="BG215" i="5"/>
  <c r="BL215" i="5" s="1"/>
  <c r="BH215" i="5"/>
  <c r="BM215" i="5" s="1"/>
  <c r="BH347" i="5"/>
  <c r="BM347" i="5" s="1"/>
  <c r="BG347" i="5"/>
  <c r="BL347" i="5" s="1"/>
  <c r="BG154" i="5"/>
  <c r="BL154" i="5" s="1"/>
  <c r="BH154" i="5"/>
  <c r="BM154" i="5" s="1"/>
  <c r="BG389" i="5"/>
  <c r="BL389" i="5" s="1"/>
  <c r="BH389" i="5"/>
  <c r="BM389" i="5" s="1"/>
  <c r="BH335" i="5"/>
  <c r="BM335" i="5" s="1"/>
  <c r="BG335" i="5"/>
  <c r="BL335" i="5" s="1"/>
  <c r="BH399" i="5"/>
  <c r="BM399" i="5" s="1"/>
  <c r="BG399" i="5"/>
  <c r="BL399" i="5" s="1"/>
  <c r="BH74" i="5"/>
  <c r="BM74" i="5" s="1"/>
  <c r="BG74" i="5"/>
  <c r="BL74" i="5" s="1"/>
  <c r="BG153" i="5"/>
  <c r="BL153" i="5" s="1"/>
  <c r="BH153" i="5"/>
  <c r="BM153" i="5" s="1"/>
  <c r="BH193" i="5"/>
  <c r="BM193" i="5" s="1"/>
  <c r="BG193" i="5"/>
  <c r="BL193" i="5" s="1"/>
  <c r="BG57" i="5"/>
  <c r="BL57" i="5" s="1"/>
  <c r="BH57" i="5"/>
  <c r="BM57" i="5" s="1"/>
  <c r="BG264" i="5"/>
  <c r="BL264" i="5" s="1"/>
  <c r="BH264" i="5"/>
  <c r="BM264" i="5" s="1"/>
  <c r="BG314" i="5"/>
  <c r="BL314" i="5" s="1"/>
  <c r="BH314" i="5"/>
  <c r="BM314" i="5" s="1"/>
  <c r="BH453" i="5"/>
  <c r="BM453" i="5" s="1"/>
  <c r="BG453" i="5"/>
  <c r="BL453" i="5" s="1"/>
  <c r="BG424" i="5"/>
  <c r="BL424" i="5" s="1"/>
  <c r="BH424" i="5"/>
  <c r="BM424" i="5" s="1"/>
  <c r="BH187" i="5"/>
  <c r="BM187" i="5" s="1"/>
  <c r="BG187" i="5"/>
  <c r="BL187" i="5" s="1"/>
  <c r="BH501" i="5"/>
  <c r="BM501" i="5" s="1"/>
  <c r="BG501" i="5"/>
  <c r="BL501" i="5" s="1"/>
  <c r="BH247" i="5"/>
  <c r="BM247" i="5" s="1"/>
  <c r="BG247" i="5"/>
  <c r="BL247" i="5" s="1"/>
  <c r="BG201" i="5"/>
  <c r="BL201" i="5" s="1"/>
  <c r="BH201" i="5"/>
  <c r="BM201" i="5" s="1"/>
  <c r="BH178" i="5"/>
  <c r="BM178" i="5" s="1"/>
  <c r="BG178" i="5"/>
  <c r="BL178" i="5" s="1"/>
  <c r="BH79" i="5"/>
  <c r="BM79" i="5" s="1"/>
  <c r="BG79" i="5"/>
  <c r="BL79" i="5" s="1"/>
  <c r="BG36" i="5"/>
  <c r="BL36" i="5" s="1"/>
  <c r="BH36" i="5"/>
  <c r="BM36" i="5" s="1"/>
  <c r="BH362" i="5"/>
  <c r="BM362" i="5" s="1"/>
  <c r="BG362" i="5"/>
  <c r="BL362" i="5" s="1"/>
  <c r="BG445" i="5"/>
  <c r="BL445" i="5" s="1"/>
  <c r="BH445" i="5"/>
  <c r="BM445" i="5" s="1"/>
  <c r="BG326" i="5"/>
  <c r="BL326" i="5" s="1"/>
  <c r="BH326" i="5"/>
  <c r="BM326" i="5" s="1"/>
  <c r="BG455" i="5"/>
  <c r="BL455" i="5" s="1"/>
  <c r="BH455" i="5"/>
  <c r="BM455" i="5" s="1"/>
  <c r="BH111" i="5"/>
  <c r="BM111" i="5" s="1"/>
  <c r="BG111" i="5"/>
  <c r="BL111" i="5" s="1"/>
  <c r="BH273" i="5"/>
  <c r="BM273" i="5" s="1"/>
  <c r="BG273" i="5"/>
  <c r="BL273" i="5" s="1"/>
  <c r="BG165" i="5"/>
  <c r="BL165" i="5" s="1"/>
  <c r="BH165" i="5"/>
  <c r="BM165" i="5" s="1"/>
  <c r="BH148" i="5"/>
  <c r="BM148" i="5" s="1"/>
  <c r="BG148" i="5"/>
  <c r="BL148" i="5" s="1"/>
  <c r="BG175" i="5"/>
  <c r="BL175" i="5" s="1"/>
  <c r="BH175" i="5"/>
  <c r="BM175" i="5" s="1"/>
  <c r="BH416" i="5"/>
  <c r="BM416" i="5" s="1"/>
  <c r="BG416" i="5"/>
  <c r="BL416" i="5" s="1"/>
  <c r="BH319" i="5"/>
  <c r="BM319" i="5" s="1"/>
  <c r="BG319" i="5"/>
  <c r="BL319" i="5" s="1"/>
  <c r="BH462" i="5"/>
  <c r="BM462" i="5" s="1"/>
  <c r="BG462" i="5"/>
  <c r="BL462" i="5" s="1"/>
  <c r="BG468" i="5"/>
  <c r="BL468" i="5" s="1"/>
  <c r="BH468" i="5"/>
  <c r="BM468" i="5" s="1"/>
  <c r="BH315" i="5"/>
  <c r="BM315" i="5" s="1"/>
  <c r="BG315" i="5"/>
  <c r="BL315" i="5" s="1"/>
  <c r="BG367" i="5"/>
  <c r="BL367" i="5" s="1"/>
  <c r="BH367" i="5"/>
  <c r="BM367" i="5" s="1"/>
  <c r="BH138" i="5"/>
  <c r="BM138" i="5" s="1"/>
  <c r="BG138" i="5"/>
  <c r="BL138" i="5" s="1"/>
  <c r="BG266" i="5"/>
  <c r="BL266" i="5" s="1"/>
  <c r="BH266" i="5"/>
  <c r="BM266" i="5" s="1"/>
  <c r="BG535" i="5"/>
  <c r="BL535" i="5" s="1"/>
  <c r="BH535" i="5"/>
  <c r="BM535" i="5" s="1"/>
  <c r="BH277" i="5"/>
  <c r="BM277" i="5" s="1"/>
  <c r="BG277" i="5"/>
  <c r="BL277" i="5" s="1"/>
  <c r="BG542" i="5"/>
  <c r="BL542" i="5" s="1"/>
  <c r="BH542" i="5"/>
  <c r="BM542" i="5" s="1"/>
  <c r="BH28" i="5"/>
  <c r="BM28" i="5" s="1"/>
  <c r="BG28" i="5"/>
  <c r="BL28" i="5" s="1"/>
  <c r="BG454" i="5"/>
  <c r="BL454" i="5" s="1"/>
  <c r="BH454" i="5"/>
  <c r="BM454" i="5" s="1"/>
  <c r="BG336" i="5"/>
  <c r="BL336" i="5" s="1"/>
  <c r="BH336" i="5"/>
  <c r="BM336" i="5" s="1"/>
  <c r="BG152" i="5"/>
  <c r="BL152" i="5" s="1"/>
  <c r="BH152" i="5"/>
  <c r="BM152" i="5" s="1"/>
  <c r="BH143" i="5"/>
  <c r="BM143" i="5" s="1"/>
  <c r="BG143" i="5"/>
  <c r="BL143" i="5" s="1"/>
  <c r="BG497" i="5"/>
  <c r="BL497" i="5" s="1"/>
  <c r="BH497" i="5"/>
  <c r="BM497" i="5" s="1"/>
  <c r="BG130" i="5"/>
  <c r="BL130" i="5" s="1"/>
  <c r="BH130" i="5"/>
  <c r="BM130" i="5" s="1"/>
  <c r="BG100" i="5"/>
  <c r="BL100" i="5" s="1"/>
  <c r="BH100" i="5"/>
  <c r="BM100" i="5" s="1"/>
  <c r="BG68" i="5"/>
  <c r="BL68" i="5" s="1"/>
  <c r="BH68" i="5"/>
  <c r="BM68" i="5" s="1"/>
  <c r="BG271" i="5"/>
  <c r="BL271" i="5" s="1"/>
  <c r="BH271" i="5"/>
  <c r="BM271" i="5" s="1"/>
  <c r="BG487" i="5"/>
  <c r="BL487" i="5" s="1"/>
  <c r="BH487" i="5"/>
  <c r="BM487" i="5" s="1"/>
  <c r="BG381" i="5"/>
  <c r="BL381" i="5" s="1"/>
  <c r="BH381" i="5"/>
  <c r="BM381" i="5" s="1"/>
  <c r="BG29" i="5"/>
  <c r="BL29" i="5" s="1"/>
  <c r="BH29" i="5"/>
  <c r="BM29" i="5" s="1"/>
  <c r="BH32" i="5"/>
  <c r="BM32" i="5" s="1"/>
  <c r="BG32" i="5"/>
  <c r="BL32" i="5" s="1"/>
  <c r="BH293" i="5"/>
  <c r="BM293" i="5" s="1"/>
  <c r="BG293" i="5"/>
  <c r="BL293" i="5" s="1"/>
  <c r="BG73" i="5"/>
  <c r="BL73" i="5" s="1"/>
  <c r="BH73" i="5"/>
  <c r="BM73" i="5" s="1"/>
  <c r="BG515" i="5"/>
  <c r="BL515" i="5" s="1"/>
  <c r="BH515" i="5"/>
  <c r="BM515" i="5" s="1"/>
  <c r="BG485" i="5"/>
  <c r="BL485" i="5" s="1"/>
  <c r="BH485" i="5"/>
  <c r="BM485" i="5" s="1"/>
  <c r="BH81" i="5"/>
  <c r="BM81" i="5" s="1"/>
  <c r="BG81" i="5"/>
  <c r="BL81" i="5" s="1"/>
  <c r="BH330" i="5"/>
  <c r="BM330" i="5" s="1"/>
  <c r="BG330" i="5"/>
  <c r="BL330" i="5" s="1"/>
  <c r="BH147" i="5"/>
  <c r="BM147" i="5" s="1"/>
  <c r="BG147" i="5"/>
  <c r="BL147" i="5" s="1"/>
  <c r="BG400" i="5"/>
  <c r="BL400" i="5" s="1"/>
  <c r="BH400" i="5"/>
  <c r="BM400" i="5" s="1"/>
  <c r="BG502" i="5"/>
  <c r="BL502" i="5" s="1"/>
  <c r="BH502" i="5"/>
  <c r="BM502" i="5" s="1"/>
  <c r="BH107" i="5"/>
  <c r="BM107" i="5" s="1"/>
  <c r="BG107" i="5"/>
  <c r="BL107" i="5" s="1"/>
  <c r="BH360" i="5"/>
  <c r="BM360" i="5" s="1"/>
  <c r="BG360" i="5"/>
  <c r="BL360" i="5" s="1"/>
  <c r="BH521" i="5"/>
  <c r="BM521" i="5" s="1"/>
  <c r="BG521" i="5"/>
  <c r="BL521" i="5" s="1"/>
  <c r="BH115" i="5"/>
  <c r="BM115" i="5" s="1"/>
  <c r="BG115" i="5"/>
  <c r="BL115" i="5" s="1"/>
  <c r="BG77" i="5"/>
  <c r="BL77" i="5" s="1"/>
  <c r="BH77" i="5"/>
  <c r="BM77" i="5" s="1"/>
  <c r="BG364" i="5"/>
  <c r="BL364" i="5" s="1"/>
  <c r="BH364" i="5"/>
  <c r="BM364" i="5" s="1"/>
  <c r="BG60" i="5"/>
  <c r="BL60" i="5" s="1"/>
  <c r="BH60" i="5"/>
  <c r="BM60" i="5" s="1"/>
  <c r="BG200" i="5"/>
  <c r="BL200" i="5" s="1"/>
  <c r="BH200" i="5"/>
  <c r="BM200" i="5" s="1"/>
  <c r="BG163" i="5"/>
  <c r="BL163" i="5" s="1"/>
  <c r="BH163" i="5"/>
  <c r="BM163" i="5" s="1"/>
  <c r="BG491" i="5"/>
  <c r="BL491" i="5" s="1"/>
  <c r="BH491" i="5"/>
  <c r="BM491" i="5" s="1"/>
  <c r="BH426" i="5"/>
  <c r="BM426" i="5" s="1"/>
  <c r="BG426" i="5"/>
  <c r="BL426" i="5" s="1"/>
  <c r="BH290" i="5"/>
  <c r="BM290" i="5" s="1"/>
  <c r="BG290" i="5"/>
  <c r="BL290" i="5" s="1"/>
  <c r="BG243" i="5"/>
  <c r="BL243" i="5" s="1"/>
  <c r="BH243" i="5"/>
  <c r="BM243" i="5" s="1"/>
  <c r="BH88" i="5"/>
  <c r="BM88" i="5" s="1"/>
  <c r="BG88" i="5"/>
  <c r="BL88" i="5" s="1"/>
  <c r="BH431" i="5"/>
  <c r="BM431" i="5" s="1"/>
  <c r="BG431" i="5"/>
  <c r="BL431" i="5" s="1"/>
  <c r="BG44" i="5"/>
  <c r="BL44" i="5" s="1"/>
  <c r="BH44" i="5"/>
  <c r="BM44" i="5" s="1"/>
  <c r="BH117" i="5"/>
  <c r="BM117" i="5" s="1"/>
  <c r="BG117" i="5"/>
  <c r="BL117" i="5" s="1"/>
  <c r="BG428" i="5"/>
  <c r="BL428" i="5" s="1"/>
  <c r="BH428" i="5"/>
  <c r="BM428" i="5" s="1"/>
  <c r="BG547" i="5"/>
  <c r="BL547" i="5" s="1"/>
  <c r="BH547" i="5"/>
  <c r="BM547" i="5" s="1"/>
  <c r="BH53" i="5"/>
  <c r="BM53" i="5" s="1"/>
  <c r="BG53" i="5"/>
  <c r="BL53" i="5" s="1"/>
  <c r="BG512" i="5"/>
  <c r="BL512" i="5" s="1"/>
  <c r="BH512" i="5"/>
  <c r="BM512" i="5" s="1"/>
  <c r="BF11" i="5"/>
  <c r="BG150" i="5"/>
  <c r="BL150" i="5" s="1"/>
  <c r="BH150" i="5"/>
  <c r="BM150" i="5" s="1"/>
  <c r="BG549" i="5"/>
  <c r="BL549" i="5" s="1"/>
  <c r="BH549" i="5"/>
  <c r="BM549" i="5" s="1"/>
  <c r="BH372" i="5"/>
  <c r="BM372" i="5" s="1"/>
  <c r="BG372" i="5"/>
  <c r="BL372" i="5" s="1"/>
  <c r="BH503" i="5"/>
  <c r="BM503" i="5" s="1"/>
  <c r="BG503" i="5"/>
  <c r="BL503" i="5" s="1"/>
  <c r="BG106" i="5"/>
  <c r="BL106" i="5" s="1"/>
  <c r="BH106" i="5"/>
  <c r="BM106" i="5" s="1"/>
  <c r="BG308" i="5"/>
  <c r="BL308" i="5" s="1"/>
  <c r="BH308" i="5"/>
  <c r="BM308" i="5" s="1"/>
  <c r="BG208" i="5"/>
  <c r="BL208" i="5" s="1"/>
  <c r="BH208" i="5"/>
  <c r="BM208" i="5" s="1"/>
  <c r="BG139" i="5"/>
  <c r="BL139" i="5" s="1"/>
  <c r="BH139" i="5"/>
  <c r="BM139" i="5" s="1"/>
  <c r="BG519" i="5"/>
  <c r="BL519" i="5" s="1"/>
  <c r="BH519" i="5"/>
  <c r="BM519" i="5" s="1"/>
  <c r="BG122" i="5"/>
  <c r="BL122" i="5" s="1"/>
  <c r="BH122" i="5"/>
  <c r="BM122" i="5" s="1"/>
  <c r="BG134" i="5"/>
  <c r="BL134" i="5" s="1"/>
  <c r="BH134" i="5"/>
  <c r="BM134" i="5" s="1"/>
  <c r="BH513" i="5"/>
  <c r="BM513" i="5" s="1"/>
  <c r="BG513" i="5"/>
  <c r="BL513" i="5" s="1"/>
  <c r="BG265" i="5"/>
  <c r="BL265" i="5" s="1"/>
  <c r="BH265" i="5"/>
  <c r="BM265" i="5" s="1"/>
  <c r="BH45" i="5"/>
  <c r="BM45" i="5" s="1"/>
  <c r="BG45" i="5"/>
  <c r="BL45" i="5" s="1"/>
  <c r="BG141" i="5"/>
  <c r="BL141" i="5" s="1"/>
  <c r="BH141" i="5"/>
  <c r="BM141" i="5" s="1"/>
  <c r="BH260" i="5"/>
  <c r="BM260" i="5" s="1"/>
  <c r="BG260" i="5"/>
  <c r="BL260" i="5" s="1"/>
  <c r="BH459" i="5"/>
  <c r="BM459" i="5" s="1"/>
  <c r="BG459" i="5"/>
  <c r="BL459" i="5" s="1"/>
  <c r="BG50" i="5"/>
  <c r="BL50" i="5" s="1"/>
  <c r="BH50" i="5"/>
  <c r="BM50" i="5" s="1"/>
  <c r="BG261" i="5"/>
  <c r="BL261" i="5" s="1"/>
  <c r="BH261" i="5"/>
  <c r="BM261" i="5" s="1"/>
  <c r="BH206" i="5"/>
  <c r="BM206" i="5" s="1"/>
  <c r="BG206" i="5"/>
  <c r="BL206" i="5" s="1"/>
  <c r="BH368" i="5"/>
  <c r="BM368" i="5" s="1"/>
  <c r="BG368" i="5"/>
  <c r="BL368" i="5" s="1"/>
  <c r="BH478" i="5"/>
  <c r="BM478" i="5" s="1"/>
  <c r="BG478" i="5"/>
  <c r="BL478" i="5" s="1"/>
  <c r="BH385" i="5"/>
  <c r="BM385" i="5" s="1"/>
  <c r="BG385" i="5"/>
  <c r="BL385" i="5" s="1"/>
  <c r="BG391" i="5"/>
  <c r="BL391" i="5" s="1"/>
  <c r="BH391" i="5"/>
  <c r="BM391" i="5" s="1"/>
  <c r="BG384" i="5"/>
  <c r="BL384" i="5" s="1"/>
  <c r="BH384" i="5"/>
  <c r="BM384" i="5" s="1"/>
  <c r="BG69" i="5"/>
  <c r="BL69" i="5" s="1"/>
  <c r="BH69" i="5"/>
  <c r="BM69" i="5" s="1"/>
  <c r="AU50" i="4" l="1"/>
  <c r="AW50" i="4" s="1"/>
  <c r="AU26" i="4"/>
  <c r="AW26" i="4" s="1"/>
  <c r="AU40" i="4"/>
  <c r="AW40" i="4" s="1"/>
  <c r="AU62" i="4"/>
  <c r="AW62" i="4" s="1"/>
  <c r="AU64" i="4"/>
  <c r="AW64" i="4" s="1"/>
  <c r="AU42" i="4"/>
  <c r="AW42" i="4" s="1"/>
  <c r="AU45" i="4"/>
  <c r="AW45" i="4" s="1"/>
  <c r="AQ65" i="4"/>
  <c r="AP65" i="4"/>
  <c r="AC65" i="4"/>
  <c r="AD65" i="4" s="1"/>
  <c r="AQ59" i="4"/>
  <c r="AC59" i="4"/>
  <c r="AD59" i="4" s="1"/>
  <c r="AP59" i="4"/>
  <c r="AQ63" i="4"/>
  <c r="AC63" i="4"/>
  <c r="AD63" i="4" s="1"/>
  <c r="AP63" i="4"/>
  <c r="AU32" i="4"/>
  <c r="AW32" i="4" s="1"/>
  <c r="AQ60" i="4"/>
  <c r="AP60" i="4"/>
  <c r="AC60" i="4"/>
  <c r="AD60" i="4" s="1"/>
  <c r="AC61" i="4"/>
  <c r="AD61" i="4" s="1"/>
  <c r="AQ61" i="4"/>
  <c r="AP61" i="4"/>
  <c r="AP55" i="4"/>
  <c r="AQ55" i="4"/>
  <c r="AC55" i="4"/>
  <c r="AD55" i="4" s="1"/>
  <c r="AQ57" i="4"/>
  <c r="AC57" i="4"/>
  <c r="AD57" i="4" s="1"/>
  <c r="AP57" i="4"/>
  <c r="AQ54" i="4"/>
  <c r="AC54" i="4"/>
  <c r="AD54" i="4" s="1"/>
  <c r="AP54" i="4"/>
  <c r="BK11" i="5"/>
  <c r="BJ11" i="5"/>
  <c r="BG11" i="5"/>
  <c r="BL11" i="5" s="1"/>
  <c r="BH11" i="5"/>
  <c r="BM11" i="5" s="1"/>
  <c r="AU54" i="4" l="1"/>
  <c r="AW54" i="4" s="1"/>
  <c r="AU59" i="4"/>
  <c r="AW59" i="4" s="1"/>
  <c r="AU57" i="4"/>
  <c r="AW57" i="4" s="1"/>
  <c r="AU63" i="4"/>
  <c r="AW63" i="4" s="1"/>
  <c r="AU61" i="4"/>
  <c r="AW61" i="4" s="1"/>
  <c r="AU65" i="4"/>
  <c r="AW65" i="4" s="1"/>
  <c r="AU55" i="4"/>
  <c r="AW55" i="4" s="1"/>
  <c r="AU60" i="4"/>
  <c r="AW6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LM5127 Design Tool</t>
        </r>
        <r>
          <rPr>
            <sz val="9"/>
            <color indexed="81"/>
            <rFont val="Tahoma"/>
            <family val="2"/>
          </rPr>
          <t xml:space="preserve">
This stand-alone tool facilitates and assists the power supply engineer with design of a DC-DC boost converter based on the LM5127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H12" authorId="0" shapeId="0" xr:uid="{00000000-0006-0000-0000-000003000000}">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20" authorId="0" shapeId="0" xr:uid="{00000000-0006-0000-0000-000004000000}">
      <text>
        <r>
          <rPr>
            <b/>
            <sz val="9"/>
            <color indexed="81"/>
            <rFont val="Tahoma"/>
            <family val="2"/>
          </rPr>
          <t xml:space="preserve">If this cell shows:
CCM: </t>
        </r>
        <r>
          <rPr>
            <sz val="9"/>
            <color indexed="81"/>
            <rFont val="Tahoma"/>
            <family val="2"/>
          </rPr>
          <t>The step up ratio from the minimum supply voltage to the load voltage can be achieved without exceeding the maximum duty cycle. Continous conduction mode is possilbe at the minimum supply voltage.</t>
        </r>
        <r>
          <rPr>
            <b/>
            <sz val="9"/>
            <color indexed="81"/>
            <rFont val="Tahoma"/>
            <family val="2"/>
          </rPr>
          <t xml:space="preserve">
DCM: </t>
        </r>
        <r>
          <rPr>
            <sz val="9"/>
            <color indexed="81"/>
            <rFont val="Tahoma"/>
            <family val="2"/>
          </rPr>
          <t>Discontinous conduction mode at the minimum supply voltage must be used as the duty cycle exceeds the maximum of the IC. This will result in higher peak inductor currents and lower efficiency. If this occurs, it is possible to decrease the switching frequency to increase the maximum duty cycle.</t>
        </r>
      </text>
    </comment>
    <comment ref="H57" authorId="0" shapeId="0" xr:uid="{00000000-0006-0000-0000-000005000000}">
      <text>
        <r>
          <rPr>
            <b/>
            <sz val="9"/>
            <color indexed="81"/>
            <rFont val="Tahoma"/>
            <family val="2"/>
          </rPr>
          <t xml:space="preserve">TRK Pin Voltage:
</t>
        </r>
        <r>
          <rPr>
            <sz val="9"/>
            <color indexed="81"/>
            <rFont val="Tahoma"/>
            <family val="2"/>
          </rPr>
          <t xml:space="preserve">
This is the voltage seen at the TRK pin when regulation to the load voltage. The TRK pin can be driven from an external voltage source or it can be supplied through a resistor divider from the REF pin. 
</t>
        </r>
      </text>
    </comment>
    <comment ref="H60" authorId="0" shapeId="0" xr:uid="{00000000-0006-0000-0000-000006000000}">
      <text>
        <r>
          <rPr>
            <b/>
            <sz val="9"/>
            <color indexed="81"/>
            <rFont val="Tahoma"/>
            <family val="2"/>
          </rPr>
          <t xml:space="preserve">RVREFT selection
</t>
        </r>
        <r>
          <rPr>
            <sz val="9"/>
            <color indexed="81"/>
            <rFont val="Tahoma"/>
            <family val="2"/>
          </rPr>
          <t xml:space="preserve">Select the a resistor value between RVREFT_min and VREFT_max. This will set the LM5123 to be in the correct output voltage range for the application.
</t>
        </r>
      </text>
    </comment>
    <comment ref="H62" authorId="0" shapeId="0" xr:uid="{00000000-0006-0000-0000-000007000000}">
      <text>
        <r>
          <rPr>
            <b/>
            <sz val="9"/>
            <color indexed="81"/>
            <rFont val="Tahoma"/>
            <family val="2"/>
          </rPr>
          <t xml:space="preserve">RVREFB Selection
</t>
        </r>
        <r>
          <rPr>
            <sz val="9"/>
            <color indexed="81"/>
            <rFont val="Tahoma"/>
            <family val="2"/>
          </rPr>
          <t xml:space="preserve">This value should be the same value as the VREFB_calc value. This sets the load voltage of the boost controler 
</t>
        </r>
      </text>
    </comment>
    <comment ref="H65" authorId="0" shapeId="0" xr:uid="{00000000-0006-0000-0000-000008000000}">
      <text>
        <r>
          <rPr>
            <b/>
            <sz val="9"/>
            <color indexed="81"/>
            <rFont val="Tahoma"/>
            <family val="2"/>
          </rPr>
          <t>Control Loop Bandwidth</t>
        </r>
        <r>
          <rPr>
            <sz val="9"/>
            <color indexed="81"/>
            <rFont val="Tahoma"/>
            <family val="2"/>
          </rPr>
          <t xml:space="preserve">
This sets the bandwidth of the control loop. In a boost controler the RHP zero of the plant transfer function limits the maximum value of the control loop bandwidth. It is recommended to not exceed 1/5th the RHP zero frequency. The FCO_calc value calculates the 1/5th the RHP zero frequency. It is recommend to not exceed the FCO_calc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93" authorId="0" shapeId="0" xr:uid="{00000000-0006-0000-0100-000001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94" authorId="0" shapeId="0" xr:uid="{00000000-0006-0000-0100-000002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<sst xmlns="http://schemas.openxmlformats.org/spreadsheetml/2006/main" count="1069" uniqueCount="613">
  <si>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</si>
  <si>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</si>
  <si>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</si>
  <si>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</si>
  <si>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</si>
  <si>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</si>
  <si>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</si>
  <si>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</si>
  <si>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</si>
  <si>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</si>
  <si>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</si>
  <si>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</si>
  <si>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</si>
  <si>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</si>
  <si>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</si>
  <si>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</si>
  <si>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</si>
  <si>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</si>
  <si>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</si>
  <si>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</si>
  <si>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</si>
  <si>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</si>
  <si>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</si>
  <si>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</si>
  <si>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</si>
  <si>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</si>
  <si>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</si>
  <si>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</si>
  <si>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</si>
  <si>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</si>
  <si>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</si>
  <si>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</si>
  <si>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</si>
  <si>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</si>
  <si>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</si>
  <si>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</si>
  <si>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</si>
  <si>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</si>
  <si>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</si>
  <si>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</si>
  <si>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</si>
  <si>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</si>
  <si>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</si>
  <si>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</si>
  <si>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</si>
  <si>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</si>
  <si>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</si>
  <si>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</si>
  <si>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</si>
  <si>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</si>
  <si>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</si>
  <si>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</si>
  <si>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</si>
  <si>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</si>
  <si>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</si>
  <si>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</si>
  <si>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</si>
  <si>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</si>
  <si>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</si>
  <si>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</si>
  <si>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</si>
  <si>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</si>
  <si>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</si>
  <si>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</si>
  <si>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</si>
  <si>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</si>
  <si>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</si>
  <si>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</si>
  <si>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</si>
  <si>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</si>
  <si>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</si>
  <si>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</si>
  <si>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</si>
  <si>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</si>
  <si>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</si>
  <si>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</si>
  <si>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</si>
  <si>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</si>
  <si>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</si>
  <si>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</si>
  <si>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ton_min</t>
  </si>
  <si>
    <t>Typical Ton minimum value</t>
  </si>
  <si>
    <t>IL_avg_VIN_min</t>
  </si>
  <si>
    <t>IL_avg_VIN_nom</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</si>
  <si>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</si>
  <si>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</si>
  <si>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</si>
  <si>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</si>
  <si>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</si>
  <si>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</si>
  <si>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</si>
  <si>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</si>
  <si>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</si>
  <si>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</si>
  <si>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</si>
  <si>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</si>
  <si>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</si>
  <si>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</si>
  <si>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</si>
  <si>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</si>
  <si>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</si>
  <si>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</si>
  <si>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</si>
  <si>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</si>
  <si>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</si>
  <si>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</si>
  <si>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</si>
  <si>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</si>
  <si>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</si>
  <si>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</si>
  <si>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</si>
  <si>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</si>
  <si>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</si>
  <si>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</si>
  <si>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</si>
  <si>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</si>
  <si>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</si>
  <si>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</si>
  <si>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</si>
  <si>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</si>
  <si>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</si>
  <si>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</si>
  <si>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</si>
  <si>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</si>
  <si>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</si>
  <si>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</si>
  <si>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</si>
  <si>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Isl</t>
  </si>
  <si>
    <t>Internal slope compensation ramp</t>
  </si>
  <si>
    <t>Rsl_int</t>
  </si>
  <si>
    <t>Internal Slope compensation resistor</t>
  </si>
  <si>
    <t>Rcs_wo_sl</t>
  </si>
  <si>
    <t>Vcl</t>
  </si>
  <si>
    <t>Current Limit Value. See datsheet for Parameters</t>
  </si>
  <si>
    <t>Flag_ext_sl</t>
  </si>
  <si>
    <t>R_cs_calc</t>
  </si>
  <si>
    <t>R_sl_calc</t>
  </si>
  <si>
    <t>R_cs</t>
  </si>
  <si>
    <t>R_sl</t>
  </si>
  <si>
    <t>Selected current sense Resistor</t>
  </si>
  <si>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</si>
  <si>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</si>
  <si>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</si>
  <si>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</si>
  <si>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</si>
  <si>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</si>
  <si>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</si>
  <si>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</si>
  <si>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</si>
  <si>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</si>
  <si>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</si>
  <si>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</si>
  <si>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</si>
  <si>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</si>
  <si>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Step 4: Output Capacitor Selection</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</si>
  <si>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</si>
  <si>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</si>
  <si>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</si>
  <si>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</si>
  <si>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</si>
  <si>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</si>
  <si>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</si>
  <si>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</si>
  <si>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</si>
  <si>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</si>
  <si>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</si>
  <si>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</si>
  <si>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</si>
  <si>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</si>
  <si>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</si>
  <si>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</si>
  <si>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</si>
  <si>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</si>
  <si>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</si>
  <si>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</si>
  <si>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</si>
  <si>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</si>
  <si>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</si>
  <si>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Interanl Slope Compesnation Resistor</t>
  </si>
  <si>
    <t>Interanl Slope Compesnation current</t>
  </si>
  <si>
    <t>RCOMP</t>
  </si>
  <si>
    <t>kΩ</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</si>
  <si>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</si>
  <si>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</si>
  <si>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</si>
  <si>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</si>
  <si>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</si>
  <si>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</si>
  <si>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</si>
  <si>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</si>
  <si>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</si>
  <si>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</si>
  <si>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</si>
  <si>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</si>
  <si>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</si>
  <si>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</si>
  <si>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</si>
  <si>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</si>
  <si>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</si>
  <si>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</si>
  <si>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</si>
  <si>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</si>
  <si>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</si>
  <si>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</si>
  <si>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</si>
  <si>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</si>
  <si>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</si>
  <si>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</si>
  <si>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</si>
  <si>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</si>
  <si>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</si>
  <si>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</si>
  <si>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</si>
  <si>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</si>
  <si>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</si>
  <si>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</si>
  <si>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</si>
  <si>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</si>
  <si>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</si>
  <si>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</si>
  <si>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</si>
  <si>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</si>
  <si>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</si>
  <si>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</si>
  <si>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</si>
  <si>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</si>
  <si>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</si>
  <si>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</si>
  <si>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</si>
  <si>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</si>
  <si>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</si>
  <si>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</si>
  <si>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</si>
  <si>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</si>
  <si>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</si>
  <si>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</si>
  <si>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</si>
  <si>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</si>
  <si>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</si>
  <si>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</si>
  <si>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</si>
  <si>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</si>
  <si>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</si>
  <si>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</si>
  <si>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</si>
  <si>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</si>
  <si>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</si>
  <si>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</si>
  <si>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</si>
  <si>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</si>
  <si>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</si>
  <si>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</si>
  <si>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</si>
  <si>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</si>
  <si>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t>
  </si>
  <si>
    <t>Desired Crossover frequency</t>
  </si>
  <si>
    <t>1/10 the swictching frequency</t>
  </si>
  <si>
    <t>Select the lower crossover frequency</t>
  </si>
  <si>
    <t>wz_RHP</t>
  </si>
  <si>
    <t>Rcomp_Calc</t>
  </si>
  <si>
    <t>Calculate on based on the desired Mid-band gain needed to set the crossover frequency</t>
  </si>
  <si>
    <t>fz_ea_est</t>
  </si>
  <si>
    <t>CCOMP_calc</t>
  </si>
  <si>
    <t>fp_ea_est</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</si>
  <si>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</si>
  <si>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</si>
  <si>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</si>
  <si>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</si>
  <si>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</si>
  <si>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</si>
  <si>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</si>
  <si>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</si>
  <si>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</si>
  <si>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</si>
  <si>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</si>
  <si>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</si>
  <si>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</si>
  <si>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</si>
  <si>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</si>
  <si>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</si>
  <si>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</si>
  <si>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</si>
  <si>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</si>
  <si>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</si>
  <si>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</si>
  <si>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</si>
  <si>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</si>
  <si>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</si>
  <si>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</si>
  <si>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</si>
  <si>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</si>
  <si>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</si>
  <si>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</si>
  <si>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</si>
  <si>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</si>
  <si>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</si>
  <si>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</si>
  <si>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</si>
  <si>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</si>
  <si>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</si>
  <si>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</si>
  <si>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</si>
  <si>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</si>
  <si>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</si>
  <si>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</si>
  <si>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</si>
  <si>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</si>
  <si>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</si>
  <si>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</si>
  <si>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</si>
  <si>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</si>
  <si>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</si>
  <si>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</si>
  <si>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</si>
  <si>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</si>
  <si>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</si>
  <si>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</si>
  <si>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</si>
  <si>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</si>
  <si>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</si>
  <si>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t>Step 7: Component Selection</t>
  </si>
  <si>
    <t>Vd_rect</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</si>
  <si>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</si>
  <si>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</si>
  <si>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</si>
  <si>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</si>
  <si>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</si>
  <si>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</si>
  <si>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</si>
  <si>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</si>
  <si>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</si>
  <si>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</si>
  <si>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</si>
  <si>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</si>
  <si>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</si>
  <si>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</si>
  <si>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</si>
  <si>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</si>
  <si>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</si>
  <si>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Qg_tot</t>
  </si>
  <si>
    <t>Qgs</t>
  </si>
  <si>
    <t>Qgd</t>
  </si>
  <si>
    <t>Rgate</t>
  </si>
  <si>
    <t>gfs</t>
  </si>
  <si>
    <t>Vth</t>
  </si>
  <si>
    <t>C</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</si>
  <si>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</si>
  <si>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</si>
  <si>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</si>
  <si>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</si>
  <si>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</si>
  <si>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</si>
  <si>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</si>
  <si>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</si>
  <si>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</si>
  <si>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</si>
  <si>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</si>
  <si>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</si>
  <si>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</si>
  <si>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</si>
  <si>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</si>
  <si>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</si>
  <si>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</si>
  <si>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</si>
  <si>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</si>
  <si>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</si>
  <si>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</si>
  <si>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</si>
  <si>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</si>
  <si>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</si>
  <si>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</si>
  <si>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</si>
  <si>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</si>
  <si>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</si>
  <si>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</si>
  <si>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</si>
  <si>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</si>
  <si>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</si>
  <si>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</si>
  <si>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Inductor</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</si>
  <si>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</si>
  <si>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</si>
  <si>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</si>
  <si>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</si>
  <si>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</si>
  <si>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</si>
  <si>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</si>
  <si>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</si>
  <si>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</si>
  <si>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</si>
  <si>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</si>
  <si>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</si>
  <si>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</si>
  <si>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</si>
  <si>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</si>
  <si>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</si>
  <si>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</si>
  <si>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</si>
  <si>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</si>
  <si>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</si>
  <si>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</si>
  <si>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</si>
  <si>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</si>
  <si>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</si>
  <si>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</si>
  <si>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</si>
  <si>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</si>
  <si>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</si>
  <si>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</si>
  <si>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</si>
  <si>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</si>
  <si>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</si>
  <si>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</si>
  <si>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</si>
  <si>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</si>
  <si>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</si>
  <si>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</si>
  <si>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</si>
  <si>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</si>
  <si>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</si>
  <si>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Maximum duty cycle at the minimum input voltage. Includes estimated efficiency for margin</t>
  </si>
  <si>
    <t>Duty cycle at the mimum input voltage (CCM). (First order/ ideal equation)</t>
  </si>
  <si>
    <t>Duty cycle at the nominal input voltage (CCM) (First order/ ideal equation)</t>
  </si>
  <si>
    <t>Duty cycle at the maximum input voltage (CCM) (First order/ ideal equation)</t>
  </si>
  <si>
    <t>DCM_Flag</t>
  </si>
  <si>
    <t>DC_rip</t>
  </si>
  <si>
    <t>CCM Operation calculations</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</si>
  <si>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</si>
  <si>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</si>
  <si>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</si>
  <si>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</si>
  <si>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</si>
  <si>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</si>
  <si>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</si>
  <si>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</si>
  <si>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</si>
  <si>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</si>
  <si>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</si>
  <si>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</si>
  <si>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</si>
  <si>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This value used to make the selection for CCM calculations</t>
  </si>
  <si>
    <t>Duty Cycle Calculations</t>
  </si>
  <si>
    <t>Minium input voltage</t>
  </si>
  <si>
    <t>DCc_mode_VIN_min</t>
  </si>
  <si>
    <t>DCc_mode_VIN_nom</t>
  </si>
  <si>
    <t>DCc_mode_VIN_max</t>
  </si>
  <si>
    <t>IL_avg_VIN_max</t>
  </si>
  <si>
    <t>Current Sense Resistor calculated, id DCM this is going to be the value calculated without slope compensation</t>
  </si>
  <si>
    <t>External Compensation? (0-no, 1-yes), Only accurate for CCM as DCM doesn't need slope compensation</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</si>
  <si>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</si>
  <si>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</si>
  <si>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</si>
  <si>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</si>
  <si>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</si>
  <si>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</si>
  <si>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</si>
  <si>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</si>
  <si>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</si>
  <si>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</si>
  <si>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</si>
  <si>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</si>
  <si>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</si>
  <si>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</si>
  <si>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</si>
  <si>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r>
      <t xml:space="preserve">Conservative. Set Fcross to be 1/5th the RHP zero frequency or 1/10th SW: whichever is lower. </t>
    </r>
    <r>
      <rPr>
        <b/>
        <sz val="11"/>
        <color theme="1"/>
        <rFont val="Calibri"/>
        <family val="2"/>
        <scheme val="minor"/>
      </rPr>
      <t>Note this is just for CCM operation</t>
    </r>
  </si>
  <si>
    <t>General Loop Selections</t>
  </si>
  <si>
    <t>Rcomp_Calc_DCM</t>
  </si>
  <si>
    <t>Calcualted based on the desired Zero frequency. Set at the geometric mean between the crossover frequency and the load pole</t>
  </si>
  <si>
    <t>Calcualted based on the RHP zero frequency</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</si>
  <si>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</si>
  <si>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</si>
  <si>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</si>
  <si>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</si>
  <si>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</si>
  <si>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</si>
  <si>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</si>
  <si>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</si>
  <si>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</si>
  <si>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</si>
  <si>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</si>
  <si>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DC_VIN_var_DCM</t>
  </si>
  <si>
    <t>Operating mode</t>
  </si>
  <si>
    <t>0 - DCM operation, 1- CCM opertaion</t>
  </si>
  <si>
    <t>wp_lf_DCM</t>
  </si>
  <si>
    <t>CCM Open Loop Response</t>
  </si>
  <si>
    <t>DCM Open Loop Response</t>
  </si>
  <si>
    <t>Displayed Loop Calclation</t>
  </si>
  <si>
    <t>Gain(dB)</t>
  </si>
  <si>
    <t>Phase (deg)</t>
  </si>
  <si>
    <t>RAD</t>
  </si>
  <si>
    <t>This sets the error amp zero at the geometric mean between the load pole and the crossover frequency</t>
  </si>
  <si>
    <t>Vsl</t>
  </si>
  <si>
    <r>
      <t xml:space="preserve">Current sense resistor without slope compensation </t>
    </r>
    <r>
      <rPr>
        <b/>
        <sz val="11"/>
        <color theme="1"/>
        <rFont val="Calibri"/>
        <family val="2"/>
        <scheme val="minor"/>
      </rPr>
      <t>(No variable slope compensation of the LM5127)</t>
    </r>
  </si>
  <si>
    <r>
      <t>External Slope Compensation Resistor</t>
    </r>
    <r>
      <rPr>
        <b/>
        <sz val="11"/>
        <color theme="1"/>
        <rFont val="Calibri"/>
        <family val="2"/>
        <scheme val="minor"/>
      </rPr>
      <t xml:space="preserve"> (No external Slope Comp for LM5127)</t>
    </r>
  </si>
  <si>
    <t>Kex</t>
  </si>
  <si>
    <t>Km</t>
  </si>
  <si>
    <t>Kd</t>
  </si>
  <si>
    <t>Slope compensation parameters. Will change pole and DC gain equation</t>
  </si>
  <si>
    <t>Sampling pole</t>
  </si>
  <si>
    <t>Q factor of the inductor sampling curve</t>
  </si>
  <si>
    <t>Always set to 1 right now for initial revision. Will only operate in CCM</t>
  </si>
  <si>
    <t>Kex_VINmin</t>
  </si>
  <si>
    <t>Km_VINmin</t>
  </si>
  <si>
    <t>Kd_VINmin</t>
  </si>
  <si>
    <t>Calculated at the minimum input voltage</t>
  </si>
  <si>
    <t>Slope compensation (VSL is refered to the current sense resistor)</t>
  </si>
  <si>
    <t>Uses the felxible equations used in my mathcad file.</t>
  </si>
  <si>
    <t>ae</t>
  </si>
  <si>
    <t>be</t>
  </si>
  <si>
    <t>Gfc</t>
  </si>
  <si>
    <r>
      <t>On-State Resistance, R</t>
    </r>
    <r>
      <rPr>
        <vertAlign val="subscript"/>
        <sz val="10"/>
        <color theme="2" tint="-0.89999084444715716"/>
        <rFont val="Arial"/>
        <family val="2"/>
      </rPr>
      <t>DS(on)</t>
    </r>
    <r>
      <rPr>
        <sz val="10"/>
        <color theme="2" tint="-0.89999084444715716"/>
        <rFont val="Arial"/>
        <family val="2"/>
      </rPr>
      <t xml:space="preserve"> </t>
    </r>
  </si>
  <si>
    <r>
      <t>Total Gate Charge, Q</t>
    </r>
    <r>
      <rPr>
        <vertAlign val="subscript"/>
        <sz val="10"/>
        <color theme="2" tint="-0.89999084444715716"/>
        <rFont val="Arial"/>
        <family val="2"/>
      </rPr>
      <t>G</t>
    </r>
    <r>
      <rPr>
        <sz val="10"/>
        <color theme="2" tint="-0.89999084444715716"/>
        <rFont val="Arial"/>
        <family val="2"/>
      </rPr>
      <t xml:space="preserve"> </t>
    </r>
  </si>
  <si>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</si>
  <si>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</si>
  <si>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</si>
  <si>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r>
      <t>Gate-Source Threshold Voltage, V</t>
    </r>
    <r>
      <rPr>
        <vertAlign val="subscript"/>
        <sz val="10"/>
        <color theme="2" tint="-0.89999084444715716"/>
        <rFont val="Arial"/>
        <family val="2"/>
      </rPr>
      <t>TH</t>
    </r>
    <r>
      <rPr>
        <sz val="10"/>
        <color theme="2" tint="-0.89999084444715716"/>
        <rFont val="Arial"/>
        <family val="2"/>
      </rPr>
      <t xml:space="preserve"> </t>
    </r>
  </si>
  <si>
    <r>
      <t>Boost Converter Duty Cycle Limit of LM5123 at V</t>
    </r>
    <r>
      <rPr>
        <vertAlign val="subscript"/>
        <sz val="10"/>
        <color theme="1"/>
        <rFont val="Calibri"/>
        <family val="2"/>
        <scheme val="minor"/>
      </rPr>
      <t>SUPPLY(MIN)</t>
    </r>
  </si>
  <si>
    <t>LM5123 BOOST Controller Design Tool</t>
  </si>
  <si>
    <t>VOUT_range</t>
  </si>
  <si>
    <t>Suggested output voltage range</t>
  </si>
  <si>
    <t xml:space="preserve">Sets the feedback divider. Unique to the LM5123 topology (1 = low voltage &lt;=15V, 2 = high voltage &gt;15V) </t>
  </si>
  <si>
    <t>Light load operation switching mode</t>
  </si>
  <si>
    <t>SW_mode</t>
  </si>
  <si>
    <t>selected switching mode (1 = SKIP, 2 = DEM, 3 =FPWM) Will change the effieciency calculations accordingly</t>
  </si>
  <si>
    <r>
      <t>Switching mode at V</t>
    </r>
    <r>
      <rPr>
        <vertAlign val="subscript"/>
        <sz val="11"/>
        <color theme="1"/>
        <rFont val="Calibri"/>
        <family val="2"/>
        <scheme val="minor"/>
      </rPr>
      <t>SUPPLY(min)</t>
    </r>
  </si>
  <si>
    <t xml:space="preserve">Estimated efficiency. Assuming 100% simplify the calculations </t>
  </si>
  <si>
    <t xml:space="preserve">1: DCM operation required at VINmin to achieve the step-up ratio. 
</t>
  </si>
  <si>
    <t>2: CCM operation can achieve step-up ratio with out violating the maximum duty cycle</t>
  </si>
  <si>
    <t>Maximum IC duty cycle. Based on the forced off time and frequency. Give the equation about 2% margin to allow for losses in the controller</t>
  </si>
  <si>
    <t>DCM Operation calculations</t>
  </si>
  <si>
    <t>Indicates if the regulator is operating in CCM or DCM at full load (1 = CCM, 0 = DCM)</t>
  </si>
  <si>
    <t>Np</t>
  </si>
  <si>
    <t>number of phases in operation (For the LM5123 only one phase is possilbe with out external circuts)</t>
  </si>
  <si>
    <t>Normal</t>
  </si>
  <si>
    <t>Indicates if the regulator is operating in CCM or DCM at full load (1 = CCM, 0 = DCM). If FPWM mode is selected always picks CCM operation</t>
  </si>
  <si>
    <t>ratio of down slope to slope compensation. This helps to prevent sub-harmonic oscillation in conditions where the duty cycle is &gt; 50%</t>
  </si>
  <si>
    <r>
      <t>External slope compensation resistor, if DCM operation the external slope compensation is not needed. Should b 0 Ohm (</t>
    </r>
    <r>
      <rPr>
        <b/>
        <sz val="11"/>
        <color theme="1"/>
        <rFont val="Calibri"/>
        <family val="2"/>
        <scheme val="minor"/>
      </rPr>
      <t>No external slope comp in LM5123)</t>
    </r>
  </si>
  <si>
    <r>
      <t>Selected external slope compensation (</t>
    </r>
    <r>
      <rPr>
        <b/>
        <sz val="11"/>
        <color theme="1"/>
        <rFont val="Calibri"/>
        <family val="2"/>
        <scheme val="minor"/>
      </rPr>
      <t>No varialbe slope compenstiaon for the LM5123)</t>
    </r>
  </si>
  <si>
    <t>Can add this in later to make sure the dynamic range of the error amplifier is not violated</t>
  </si>
  <si>
    <t>HZ</t>
  </si>
  <si>
    <t>Estimate to be 1.5 the RHP zero frequency. Pick based on DCM or CCM operation.</t>
  </si>
  <si>
    <t>RMS current of the output capacitor at VIN min IOUT max. RMS current rating should be larger than this. Need to update for DCM</t>
  </si>
  <si>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</si>
  <si>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</si>
  <si>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</si>
  <si>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</si>
  <si>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</si>
  <si>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Step 5: UVLO Resistor Divider Selection</t>
  </si>
  <si>
    <t>Step 6: Soft-Start Capacitor Selection</t>
  </si>
  <si>
    <t>*The output capcitance is based on the load transient specification. Similar to the fylback converter</t>
  </si>
  <si>
    <t>Vout_Range</t>
  </si>
  <si>
    <t>KFB</t>
  </si>
  <si>
    <t>Kfb_low</t>
  </si>
  <si>
    <t>Kfb_high</t>
  </si>
  <si>
    <t>Rmax_low</t>
  </si>
  <si>
    <t>Rmax_high</t>
  </si>
  <si>
    <t>Rmin_low</t>
  </si>
  <si>
    <t>Rmin_high</t>
  </si>
  <si>
    <t>Rmax</t>
  </si>
  <si>
    <t>Rmin</t>
  </si>
  <si>
    <t>RFBT_max</t>
  </si>
  <si>
    <t>RFBT_min</t>
  </si>
  <si>
    <t>VTRK</t>
  </si>
  <si>
    <t>TRK pin voltage to set the correct output voltage</t>
  </si>
  <si>
    <t>VREF Resistor Selection</t>
  </si>
  <si>
    <r>
      <t>Calculated bottom feedback resistor (R</t>
    </r>
    <r>
      <rPr>
        <vertAlign val="subscript"/>
        <sz val="11"/>
        <color theme="1"/>
        <rFont val="Calibri"/>
        <family val="2"/>
        <scheme val="minor"/>
      </rPr>
      <t>VREFB_calc</t>
    </r>
    <r>
      <rPr>
        <sz val="11"/>
        <color theme="1"/>
        <rFont val="Calibri"/>
        <family val="2"/>
        <scheme val="minor"/>
      </rPr>
      <t>)</t>
    </r>
  </si>
  <si>
    <r>
      <t>Track pin voltage to set the output voltage (V</t>
    </r>
    <r>
      <rPr>
        <vertAlign val="subscript"/>
        <sz val="11"/>
        <color theme="1"/>
        <rFont val="Calibri"/>
        <family val="2"/>
        <scheme val="minor"/>
      </rPr>
      <t>TRK</t>
    </r>
    <r>
      <rPr>
        <sz val="11"/>
        <color theme="1"/>
        <rFont val="Calibri"/>
        <family val="2"/>
        <scheme val="minor"/>
      </rPr>
      <t>)</t>
    </r>
  </si>
  <si>
    <r>
      <rPr>
        <b/>
        <sz val="11"/>
        <color theme="1"/>
        <rFont val="Calibri"/>
        <family val="2"/>
        <scheme val="minor"/>
      </rPr>
      <t xml:space="preserve">Not used for the LM5123 or the LM5152. </t>
    </r>
    <r>
      <rPr>
        <sz val="11"/>
        <color theme="1"/>
        <rFont val="Calibri"/>
        <family val="2"/>
        <scheme val="minor"/>
      </rPr>
      <t>Current Drawn from the feedback resistors (Typically higher than 100uA to help w/ noise)</t>
    </r>
  </si>
  <si>
    <t>This is the output to the user based on the mode of operation when VIN is the minimum. Changes based on DCM or CCM operation</t>
  </si>
  <si>
    <r>
      <t>Crossover frequnecy of the</t>
    </r>
    <r>
      <rPr>
        <b/>
        <sz val="11"/>
        <color theme="1"/>
        <rFont val="Calibri"/>
        <family val="2"/>
        <scheme val="minor"/>
      </rPr>
      <t xml:space="preserve"> DCM control loop</t>
    </r>
    <r>
      <rPr>
        <sz val="11"/>
        <color theme="1"/>
        <rFont val="Calibri"/>
        <family val="2"/>
        <scheme val="minor"/>
      </rPr>
      <t>. (1/5th the RHPzero frequency), or 10th the switching frequency which ever is lower</t>
    </r>
  </si>
  <si>
    <t>Selected crossover</t>
  </si>
  <si>
    <t>DCM Operation Loop Model</t>
  </si>
  <si>
    <t>Fcross (VINvar)</t>
  </si>
  <si>
    <t>Low-Side MOSFET</t>
  </si>
  <si>
    <t>High-Side MOSFET Losses</t>
  </si>
  <si>
    <t>LOW Side MOSFET Parameters</t>
  </si>
  <si>
    <t>High Side MOSFET Parameters</t>
  </si>
  <si>
    <t>Body Diode Reverse recovery charge</t>
  </si>
  <si>
    <t>Body Diode Forward drop</t>
  </si>
  <si>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</si>
  <si>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</si>
  <si>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r>
      <t>Gate-Source Threshold Voltage, (V</t>
    </r>
    <r>
      <rPr>
        <vertAlign val="subscript"/>
        <sz val="10"/>
        <color theme="2" tint="-0.89999084444715716"/>
        <rFont val="Arial"/>
        <family val="2"/>
      </rPr>
      <t>TH</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</si>
  <si>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</si>
  <si>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</si>
  <si>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</si>
  <si>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</si>
  <si>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</si>
  <si>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IHS</t>
    </r>
    <r>
      <rPr>
        <vertAlign val="subscript"/>
        <sz val="11"/>
        <color theme="1"/>
        <rFont val="Calibri"/>
        <family val="2"/>
        <scheme val="minor"/>
      </rPr>
      <t>RMS</t>
    </r>
  </si>
  <si>
    <t>Dead Time losses</t>
  </si>
  <si>
    <t>Dead time losses (Sync Controller)</t>
  </si>
  <si>
    <t>t_dead</t>
  </si>
  <si>
    <r>
      <t>P</t>
    </r>
    <r>
      <rPr>
        <vertAlign val="subscript"/>
        <sz val="11"/>
        <color theme="1"/>
        <rFont val="Calibri"/>
        <family val="2"/>
        <scheme val="minor"/>
      </rPr>
      <t xml:space="preserve">HS_tot </t>
    </r>
    <r>
      <rPr>
        <sz val="11"/>
        <color theme="1"/>
        <rFont val="Calibri"/>
        <family val="2"/>
        <scheme val="minor"/>
      </rPr>
      <t>(W)</t>
    </r>
  </si>
  <si>
    <r>
      <t>Select a top VREF resistor between R</t>
    </r>
    <r>
      <rPr>
        <vertAlign val="subscript"/>
        <sz val="11"/>
        <color theme="1"/>
        <rFont val="Calibri"/>
        <family val="2"/>
        <scheme val="minor"/>
      </rPr>
      <t>VREFT_min</t>
    </r>
    <r>
      <rPr>
        <sz val="11"/>
        <color theme="1"/>
        <rFont val="Calibri"/>
        <family val="2"/>
        <scheme val="minor"/>
      </rPr>
      <t xml:space="preserve"> and R</t>
    </r>
    <r>
      <rPr>
        <vertAlign val="subscript"/>
        <sz val="11"/>
        <color theme="1"/>
        <rFont val="Calibri"/>
        <family val="2"/>
        <scheme val="minor"/>
      </rPr>
      <t>VREFT_max</t>
    </r>
    <r>
      <rPr>
        <sz val="11"/>
        <color theme="1"/>
        <rFont val="Calibri"/>
        <family val="2"/>
        <scheme val="minor"/>
      </rPr>
      <t xml:space="preserve"> (R</t>
    </r>
    <r>
      <rPr>
        <vertAlign val="subscript"/>
        <sz val="11"/>
        <color theme="1"/>
        <rFont val="Calibri"/>
        <family val="2"/>
        <scheme val="minor"/>
      </rPr>
      <t>VREFT</t>
    </r>
    <r>
      <rPr>
        <sz val="11"/>
        <color theme="1"/>
        <rFont val="Calibri"/>
        <family val="2"/>
        <scheme val="minor"/>
      </rPr>
      <t>)</t>
    </r>
  </si>
  <si>
    <r>
      <t>P</t>
    </r>
    <r>
      <rPr>
        <vertAlign val="subscript"/>
        <sz val="11"/>
        <color theme="1"/>
        <rFont val="Calibri"/>
        <family val="2"/>
        <scheme val="minor"/>
      </rPr>
      <t>L_CORE</t>
    </r>
    <r>
      <rPr>
        <sz val="11"/>
        <color theme="1"/>
        <rFont val="Calibri"/>
        <family val="2"/>
        <scheme val="minor"/>
      </rPr>
      <t xml:space="preserve"> (W)</t>
    </r>
  </si>
  <si>
    <r>
      <t>Low-Side MOSFET Parameters (Q</t>
    </r>
    <r>
      <rPr>
        <b/>
        <vertAlign val="subscript"/>
        <sz val="11"/>
        <color theme="2" tint="-0.89996032593768116"/>
        <rFont val="Calibri"/>
        <family val="2"/>
        <scheme val="minor"/>
      </rPr>
      <t>LS</t>
    </r>
    <r>
      <rPr>
        <b/>
        <sz val="11"/>
        <color theme="2" tint="-0.89999084444715716"/>
        <rFont val="Calibri"/>
        <family val="2"/>
        <scheme val="minor"/>
      </rPr>
      <t>)</t>
    </r>
  </si>
  <si>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</si>
  <si>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r>
      <t>Select a bottomresistor based on calculated balue(R</t>
    </r>
    <r>
      <rPr>
        <vertAlign val="subscript"/>
        <sz val="11"/>
        <color theme="1"/>
        <rFont val="Calibri"/>
        <family val="2"/>
        <scheme val="minor"/>
      </rPr>
      <t>VREFB</t>
    </r>
    <r>
      <rPr>
        <sz val="11"/>
        <color theme="1"/>
        <rFont val="Calibri"/>
        <family val="2"/>
        <scheme val="minor"/>
      </rPr>
      <t>)</t>
    </r>
  </si>
  <si>
    <r>
      <t>Selected bandwidth (F</t>
    </r>
    <r>
      <rPr>
        <vertAlign val="subscript"/>
        <sz val="11"/>
        <color theme="1"/>
        <rFont val="Calibri"/>
        <family val="2"/>
        <scheme val="minor"/>
      </rPr>
      <t>CO</t>
    </r>
    <r>
      <rPr>
        <sz val="11"/>
        <color theme="1"/>
        <rFont val="Calibri"/>
        <family val="2"/>
        <scheme val="minor"/>
      </rPr>
      <t>)</t>
    </r>
  </si>
  <si>
    <r>
      <t>Suggested bandwidth (F</t>
    </r>
    <r>
      <rPr>
        <vertAlign val="subscript"/>
        <sz val="11"/>
        <color theme="1"/>
        <rFont val="Calibri"/>
        <family val="2"/>
        <scheme val="minor"/>
      </rPr>
      <t>CO_calc</t>
    </r>
    <r>
      <rPr>
        <sz val="11"/>
        <color theme="1"/>
        <rFont val="Calibri"/>
        <family val="2"/>
        <scheme val="minor"/>
      </rPr>
      <t>)</t>
    </r>
  </si>
  <si>
    <r>
      <t>Minimum value for (R</t>
    </r>
    <r>
      <rPr>
        <vertAlign val="subscript"/>
        <sz val="11"/>
        <color theme="1"/>
        <rFont val="Calibri"/>
        <family val="2"/>
        <scheme val="minor"/>
      </rPr>
      <t>VREFT_min</t>
    </r>
    <r>
      <rPr>
        <sz val="11"/>
        <color theme="1"/>
        <rFont val="Calibri"/>
        <family val="2"/>
        <scheme val="minor"/>
      </rPr>
      <t>)</t>
    </r>
  </si>
  <si>
    <r>
      <t>Maximum value for (R</t>
    </r>
    <r>
      <rPr>
        <vertAlign val="subscript"/>
        <sz val="11"/>
        <color theme="1"/>
        <rFont val="Calibri"/>
        <family val="2"/>
        <scheme val="minor"/>
      </rPr>
      <t>VREFT_max</t>
    </r>
    <r>
      <rPr>
        <sz val="11"/>
        <color theme="1"/>
        <rFont val="Calibri"/>
        <family val="2"/>
        <scheme val="minor"/>
      </rPr>
      <t>)</t>
    </r>
  </si>
  <si>
    <t>nest</t>
  </si>
  <si>
    <t>estimated efficiency at the peak current limit. Keep at ~95% for SYNC boost controllers</t>
  </si>
  <si>
    <t xml:space="preserve"> </t>
  </si>
  <si>
    <t>SCH_1 = SKIP</t>
  </si>
  <si>
    <t>SCH_2 = DEM</t>
  </si>
  <si>
    <t>SCH_3 = FPWM</t>
  </si>
  <si>
    <t>Rev 0.2</t>
  </si>
  <si>
    <t>December-2021</t>
  </si>
  <si>
    <t>FPWM</t>
  </si>
  <si>
    <t>Ruvlo_bottom_actual</t>
  </si>
  <si>
    <t>Rg_extra_rise</t>
  </si>
  <si>
    <t>Qgs(th)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</si>
</sst>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00"/>
    <numFmt numFmtId="166" formatCode="0.000E+00"/>
    <numFmt numFmtId="167" formatCode="0.0000"/>
    <numFmt numFmtId="168" formatCode="0.0"/>
    <numFmt numFmtId="169" formatCode="0.0E+00"/>
    <numFmt numFmtId="170" formatCode="0.00000"/>
  </numFmts>
  <fonts count="40"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vertAlign val="subscript"/>
      <sz val="10"/>
      <name val="Arial"/>
      <family val="2"/>
    </font>
    <font>
      <vertAlign val="subscript"/>
      <sz val="11"/>
      <name val="Calibri"/>
      <family val="2"/>
      <scheme val="minor"/>
    </font>
    <font>
      <sz val="11"/>
      <color rgb="FF0070C0"/>
      <name val="Calibri"/>
      <family val="2"/>
      <scheme val="minor"/>
    </font>
    <font>
      <b/>
      <u/>
      <sz val="11"/>
      <color theme="1"/>
      <name val="Calibri"/>
      <family val="2"/>
      <scheme val="minor"/>
    </font>
    <font>
      <sz val="18"/>
      <color theme="2" tint="-0.89999084444715716"/>
      <name val="Calibri"/>
      <family val="2"/>
      <scheme val="minor"/>
    </font>
    <font>
      <sz val="11"/>
      <color theme="2" tint="-0.89999084444715716"/>
      <name val="Calibri"/>
      <family val="2"/>
      <scheme val="minor"/>
    </font>
    <font>
      <b/>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sz val="11"/>
      <color theme="1" tint="0.14999847407452621"/>
      <name val="Calibri"/>
      <family val="2"/>
      <scheme val="minor"/>
    </font>
    <font>
      <vertAlign val="subscript"/>
      <sz val="11"/>
      <color theme="2" tint="-0.89996032593768116"/>
      <name val="Calibri"/>
      <family val="2"/>
      <scheme val="minor"/>
    </font>
    <font>
      <b/>
      <vertAlign val="subscript"/>
      <sz val="11"/>
      <color theme="2" tint="-0.89996032593768116"/>
      <name val="Calibri"/>
      <family val="2"/>
      <scheme val="minor"/>
    </font>
  </fonts>
  <fills count="17">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rgb="FF00B050"/>
        <bgColor indexed="64"/>
      </patternFill>
    </fill>
  </fills>
  <borders count="3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3" fillId="0" borderId="0"/>
    <xf numFmtId="164" fontId="4" fillId="0" borderId="0" applyFont="0" applyFill="0" applyBorder="0" applyAlignment="0" applyProtection="0"/>
    <xf numFmtId="0" fontId="4" fillId="0" borderId="0"/>
    <xf numFmtId="0" fontId="1" fillId="0" borderId="0"/>
    <xf numFmtId="164" fontId="1" fillId="0" borderId="0" applyFont="0" applyFill="0" applyBorder="0" applyAlignment="0" applyProtection="0"/>
    <xf numFmtId="0" fontId="4" fillId="0" borderId="0"/>
    <xf numFmtId="0" fontId="4" fillId="0" borderId="0"/>
    <xf numFmtId="164" fontId="3" fillId="0" borderId="0" applyFont="0" applyFill="0" applyBorder="0" applyAlignment="0" applyProtection="0"/>
    <xf numFmtId="0" fontId="3" fillId="0" borderId="0"/>
    <xf numFmtId="0" fontId="3" fillId="0" borderId="0"/>
    <xf numFmtId="0" fontId="3" fillId="0" borderId="0"/>
  </cellStyleXfs>
  <cellXfs count="235">
    <xf numFmtId="0" fontId="0" fillId="0" borderId="0" xfId="0"/>
    <xf numFmtId="0" fontId="0" fillId="9" borderId="0" xfId="0" applyFill="1"/>
    <xf numFmtId="0" fontId="17"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6" fontId="0" fillId="9" borderId="0" xfId="0" applyNumberFormat="1" applyFill="1"/>
    <xf numFmtId="0" fontId="5" fillId="0" borderId="0" xfId="3" applyFont="1" applyAlignment="1">
      <alignment horizontal="right"/>
    </xf>
    <xf numFmtId="0" fontId="4" fillId="0" borderId="0" xfId="3" applyAlignment="1">
      <alignment horizontal="center"/>
    </xf>
    <xf numFmtId="165" fontId="0" fillId="9" borderId="0" xfId="0" applyNumberFormat="1" applyFill="1"/>
    <xf numFmtId="2" fontId="0" fillId="9" borderId="0" xfId="0" applyNumberFormat="1" applyFill="1"/>
    <xf numFmtId="1" fontId="0" fillId="9" borderId="0" xfId="0" applyNumberFormat="1" applyFill="1"/>
    <xf numFmtId="0" fontId="16" fillId="0" borderId="0" xfId="0" applyFont="1"/>
    <xf numFmtId="165" fontId="0" fillId="0" borderId="0" xfId="0" applyNumberFormat="1"/>
    <xf numFmtId="11" fontId="15" fillId="10" borderId="0" xfId="0" applyNumberFormat="1" applyFont="1" applyFill="1"/>
    <xf numFmtId="0" fontId="18" fillId="0" borderId="0" xfId="0" applyFont="1"/>
    <xf numFmtId="11" fontId="0" fillId="9" borderId="0" xfId="0" applyNumberFormat="1" applyFill="1"/>
    <xf numFmtId="0" fontId="5" fillId="0" borderId="0" xfId="3" applyFont="1" applyAlignment="1">
      <alignment horizontal="left"/>
    </xf>
    <xf numFmtId="167"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23" fillId="0" borderId="0" xfId="0" applyFont="1"/>
    <xf numFmtId="0" fontId="24" fillId="0" borderId="0" xfId="0" applyFont="1"/>
    <xf numFmtId="165" fontId="4" fillId="0" borderId="0" xfId="3" applyNumberFormat="1"/>
    <xf numFmtId="2" fontId="0" fillId="0" borderId="0" xfId="0" applyNumberFormat="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9" xfId="3" applyBorder="1"/>
    <xf numFmtId="0" fontId="0" fillId="0" borderId="5" xfId="0" applyBorder="1"/>
    <xf numFmtId="0" fontId="4" fillId="0" borderId="7" xfId="3" applyBorder="1"/>
    <xf numFmtId="0" fontId="0" fillId="0" borderId="6" xfId="0" applyBorder="1"/>
    <xf numFmtId="0" fontId="0" fillId="0" borderId="7" xfId="0" applyBorder="1"/>
    <xf numFmtId="0" fontId="0" fillId="0" borderId="9" xfId="0" applyBorder="1"/>
    <xf numFmtId="165"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5" fontId="4" fillId="0" borderId="3" xfId="3" applyNumberFormat="1" applyBorder="1"/>
    <xf numFmtId="0" fontId="4" fillId="0" borderId="3" xfId="3" applyBorder="1"/>
    <xf numFmtId="0" fontId="0" fillId="0" borderId="3" xfId="0" applyBorder="1"/>
    <xf numFmtId="0" fontId="4" fillId="0" borderId="2" xfId="3" applyBorder="1"/>
    <xf numFmtId="165" fontId="0" fillId="0" borderId="3" xfId="0" applyNumberFormat="1" applyBorder="1"/>
    <xf numFmtId="0" fontId="0" fillId="0" borderId="4" xfId="0" applyBorder="1"/>
    <xf numFmtId="165" fontId="4" fillId="0" borderId="8" xfId="3" applyNumberFormat="1" applyBorder="1"/>
    <xf numFmtId="0" fontId="4" fillId="0" borderId="6" xfId="3" applyBorder="1"/>
    <xf numFmtId="0" fontId="0" fillId="0" borderId="10" xfId="0" applyBorder="1"/>
    <xf numFmtId="0" fontId="0" fillId="0" borderId="11" xfId="0" applyBorder="1"/>
    <xf numFmtId="165" fontId="4" fillId="0" borderId="11" xfId="3" applyNumberFormat="1" applyBorder="1"/>
    <xf numFmtId="0" fontId="4" fillId="0" borderId="11" xfId="3" applyBorder="1"/>
    <xf numFmtId="0" fontId="4" fillId="0" borderId="10" xfId="3" applyBorder="1"/>
    <xf numFmtId="165"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13"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3" borderId="13" xfId="0" applyFill="1" applyBorder="1"/>
    <xf numFmtId="0" fontId="0" fillId="0" borderId="19" xfId="0" applyBorder="1"/>
    <xf numFmtId="0" fontId="0" fillId="13"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5" fillId="8" borderId="0" xfId="0" applyFont="1" applyFill="1" applyProtection="1">
      <protection hidden="1"/>
    </xf>
    <xf numFmtId="0" fontId="0" fillId="14"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2" fillId="8" borderId="0" xfId="0" applyFont="1" applyFill="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4" borderId="1" xfId="0" applyFill="1" applyBorder="1" applyProtection="1">
      <protection hidden="1"/>
    </xf>
    <xf numFmtId="0" fontId="0" fillId="15" borderId="0" xfId="0" applyFill="1" applyProtection="1">
      <protection hidden="1"/>
    </xf>
    <xf numFmtId="0" fontId="0" fillId="15" borderId="0" xfId="0" applyFill="1" applyAlignment="1" applyProtection="1">
      <alignment horizontal="right"/>
      <protection hidden="1"/>
    </xf>
    <xf numFmtId="49" fontId="0" fillId="15" borderId="0" xfId="0" applyNumberFormat="1" applyFill="1" applyProtection="1">
      <protection hidden="1"/>
    </xf>
    <xf numFmtId="0" fontId="0" fillId="15" borderId="2" xfId="0" applyFill="1" applyBorder="1" applyProtection="1">
      <protection hidden="1"/>
    </xf>
    <xf numFmtId="0" fontId="0" fillId="15" borderId="3" xfId="0" applyFill="1" applyBorder="1" applyProtection="1">
      <protection hidden="1"/>
    </xf>
    <xf numFmtId="0" fontId="13" fillId="15" borderId="3" xfId="3" applyFont="1" applyFill="1" applyBorder="1" applyAlignment="1" applyProtection="1">
      <alignment horizontal="right"/>
      <protection hidden="1"/>
    </xf>
    <xf numFmtId="0" fontId="0" fillId="15" borderId="4" xfId="0" applyFill="1" applyBorder="1" applyProtection="1">
      <protection hidden="1"/>
    </xf>
    <xf numFmtId="0" fontId="0" fillId="15" borderId="5" xfId="0" applyFill="1" applyBorder="1" applyProtection="1">
      <protection hidden="1"/>
    </xf>
    <xf numFmtId="0" fontId="13" fillId="15" borderId="0" xfId="3" applyFont="1" applyFill="1" applyAlignment="1" applyProtection="1">
      <alignment horizontal="right"/>
      <protection hidden="1"/>
    </xf>
    <xf numFmtId="0" fontId="0" fillId="15" borderId="6" xfId="0" applyFill="1" applyBorder="1" applyProtection="1">
      <protection hidden="1"/>
    </xf>
    <xf numFmtId="0" fontId="13" fillId="15" borderId="5" xfId="0" applyFont="1" applyFill="1" applyBorder="1" applyProtection="1">
      <protection hidden="1"/>
    </xf>
    <xf numFmtId="0" fontId="13" fillId="15" borderId="0" xfId="0" applyFont="1" applyFill="1" applyProtection="1">
      <protection hidden="1"/>
    </xf>
    <xf numFmtId="0" fontId="13" fillId="15" borderId="0" xfId="0" applyFont="1" applyFill="1" applyAlignment="1" applyProtection="1">
      <alignment horizontal="right"/>
      <protection hidden="1"/>
    </xf>
    <xf numFmtId="0" fontId="0" fillId="15" borderId="8" xfId="0" applyFill="1" applyBorder="1" applyProtection="1">
      <protection hidden="1"/>
    </xf>
    <xf numFmtId="0" fontId="0" fillId="15" borderId="9" xfId="0" applyFill="1" applyBorder="1" applyProtection="1">
      <protection hidden="1"/>
    </xf>
    <xf numFmtId="0" fontId="16" fillId="15" borderId="0" xfId="0" applyFont="1" applyFill="1" applyProtection="1">
      <protection hidden="1"/>
    </xf>
    <xf numFmtId="0" fontId="13" fillId="15" borderId="3" xfId="0" applyFont="1" applyFill="1" applyBorder="1" applyProtection="1">
      <protection hidden="1"/>
    </xf>
    <xf numFmtId="0" fontId="0" fillId="15" borderId="7" xfId="0" applyFill="1" applyBorder="1" applyProtection="1">
      <protection hidden="1"/>
    </xf>
    <xf numFmtId="0" fontId="13" fillId="15" borderId="8" xfId="3" applyFont="1" applyFill="1" applyBorder="1" applyAlignment="1" applyProtection="1">
      <alignment horizontal="right"/>
      <protection hidden="1"/>
    </xf>
    <xf numFmtId="0" fontId="17" fillId="15" borderId="6" xfId="0" applyFont="1" applyFill="1" applyBorder="1" applyProtection="1">
      <protection hidden="1"/>
    </xf>
    <xf numFmtId="0" fontId="0" fillId="15" borderId="8" xfId="0" applyFill="1" applyBorder="1" applyAlignment="1" applyProtection="1">
      <alignment horizontal="right"/>
      <protection hidden="1"/>
    </xf>
    <xf numFmtId="0" fontId="17" fillId="15" borderId="9" xfId="0" applyFont="1" applyFill="1" applyBorder="1" applyProtection="1">
      <protection hidden="1"/>
    </xf>
    <xf numFmtId="0" fontId="0" fillId="15" borderId="3" xfId="0" applyFill="1" applyBorder="1" applyAlignment="1" applyProtection="1">
      <alignment horizontal="right"/>
      <protection hidden="1"/>
    </xf>
    <xf numFmtId="0" fontId="16" fillId="15" borderId="2" xfId="0" applyFont="1" applyFill="1" applyBorder="1" applyProtection="1">
      <protection hidden="1"/>
    </xf>
    <xf numFmtId="0" fontId="15" fillId="15" borderId="3" xfId="0" applyFont="1" applyFill="1" applyBorder="1" applyAlignment="1" applyProtection="1">
      <alignment horizontal="right"/>
      <protection hidden="1"/>
    </xf>
    <xf numFmtId="0" fontId="16" fillId="15" borderId="5" xfId="0" applyFont="1" applyFill="1" applyBorder="1" applyProtection="1">
      <protection hidden="1"/>
    </xf>
    <xf numFmtId="0" fontId="23" fillId="15" borderId="0" xfId="0" applyFont="1" applyFill="1" applyAlignment="1" applyProtection="1">
      <alignment horizontal="right"/>
      <protection hidden="1"/>
    </xf>
    <xf numFmtId="0" fontId="0" fillId="15" borderId="0" xfId="0" applyFill="1" applyAlignment="1" applyProtection="1">
      <alignment horizontal="center"/>
      <protection hidden="1"/>
    </xf>
    <xf numFmtId="0" fontId="0" fillId="15" borderId="6" xfId="0" applyFill="1" applyBorder="1" applyAlignment="1" applyProtection="1">
      <alignment horizontal="center"/>
      <protection hidden="1"/>
    </xf>
    <xf numFmtId="0" fontId="0" fillId="14" borderId="0" xfId="0" applyFill="1" applyAlignment="1" applyProtection="1">
      <alignment horizontal="right"/>
      <protection hidden="1"/>
    </xf>
    <xf numFmtId="0" fontId="15" fillId="14"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5" borderId="25" xfId="0" applyNumberFormat="1" applyFill="1" applyBorder="1" applyProtection="1">
      <protection hidden="1"/>
    </xf>
    <xf numFmtId="0" fontId="0" fillId="15" borderId="25" xfId="0" applyFill="1" applyBorder="1" applyProtection="1">
      <protection hidden="1"/>
    </xf>
    <xf numFmtId="165" fontId="0" fillId="0" borderId="25" xfId="0" applyNumberFormat="1" applyBorder="1" applyProtection="1">
      <protection hidden="1"/>
    </xf>
    <xf numFmtId="2" fontId="0" fillId="0" borderId="26" xfId="0" applyNumberFormat="1" applyBorder="1" applyProtection="1">
      <protection hidden="1"/>
    </xf>
    <xf numFmtId="2" fontId="0" fillId="15"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165" fontId="0" fillId="15" borderId="25" xfId="0" applyNumberFormat="1" applyFill="1" applyBorder="1" applyProtection="1">
      <protection hidden="1"/>
    </xf>
    <xf numFmtId="0" fontId="0" fillId="15" borderId="25" xfId="0" applyFill="1" applyBorder="1" applyAlignment="1" applyProtection="1">
      <alignment horizontal="center"/>
      <protection hidden="1"/>
    </xf>
    <xf numFmtId="1" fontId="0" fillId="15" borderId="7" xfId="0" applyNumberFormat="1" applyFill="1" applyBorder="1" applyProtection="1">
      <protection hidden="1"/>
    </xf>
    <xf numFmtId="0" fontId="0" fillId="7" borderId="23" xfId="0" applyFill="1" applyBorder="1" applyProtection="1">
      <protection locked="0" hidden="1"/>
    </xf>
    <xf numFmtId="0" fontId="0" fillId="7" borderId="0" xfId="0" applyFill="1"/>
    <xf numFmtId="0" fontId="30" fillId="0" borderId="0" xfId="0" applyFont="1"/>
    <xf numFmtId="0" fontId="31" fillId="0" borderId="0" xfId="0" applyFont="1"/>
    <xf numFmtId="0" fontId="0" fillId="0" borderId="0" xfId="0" applyAlignment="1">
      <alignment horizontal="center"/>
    </xf>
    <xf numFmtId="11" fontId="0" fillId="0" borderId="0" xfId="0" applyNumberFormat="1"/>
    <xf numFmtId="169" fontId="0" fillId="9" borderId="0" xfId="0" applyNumberFormat="1" applyFill="1"/>
    <xf numFmtId="0" fontId="3" fillId="0" borderId="8" xfId="3" applyFont="1" applyBorder="1"/>
    <xf numFmtId="0" fontId="23" fillId="15" borderId="24" xfId="0" applyFont="1" applyFill="1" applyBorder="1" applyAlignment="1" applyProtection="1">
      <alignment horizontal="center"/>
      <protection hidden="1"/>
    </xf>
    <xf numFmtId="0" fontId="23" fillId="0" borderId="0" xfId="0" quotePrefix="1" applyFont="1"/>
    <xf numFmtId="0" fontId="37" fillId="14" borderId="0" xfId="0" applyFont="1" applyFill="1" applyProtection="1">
      <protection hidden="1"/>
    </xf>
    <xf numFmtId="0" fontId="0" fillId="15" borderId="0" xfId="0" applyFill="1"/>
    <xf numFmtId="0" fontId="13" fillId="15" borderId="7" xfId="0" applyFont="1" applyFill="1" applyBorder="1" applyProtection="1">
      <protection hidden="1"/>
    </xf>
    <xf numFmtId="0" fontId="13" fillId="15" borderId="8" xfId="0" applyFont="1" applyFill="1" applyBorder="1" applyProtection="1">
      <protection hidden="1"/>
    </xf>
    <xf numFmtId="168" fontId="0" fillId="15" borderId="25" xfId="0" applyNumberFormat="1" applyFill="1" applyBorder="1" applyProtection="1">
      <protection hidden="1"/>
    </xf>
    <xf numFmtId="0" fontId="23" fillId="13" borderId="0" xfId="0" applyFont="1" applyFill="1"/>
    <xf numFmtId="165" fontId="0" fillId="6" borderId="0" xfId="0" applyNumberFormat="1" applyFill="1"/>
    <xf numFmtId="0" fontId="0" fillId="6" borderId="0" xfId="0" applyFill="1"/>
    <xf numFmtId="165" fontId="0" fillId="0" borderId="26" xfId="0" applyNumberFormat="1" applyBorder="1" applyProtection="1">
      <protection hidden="1"/>
    </xf>
    <xf numFmtId="170" fontId="0" fillId="0" borderId="0" xfId="0" applyNumberFormat="1"/>
    <xf numFmtId="0" fontId="17" fillId="15" borderId="10" xfId="0" applyFont="1" applyFill="1" applyBorder="1" applyAlignment="1" applyProtection="1">
      <alignment horizontal="left"/>
      <protection hidden="1"/>
    </xf>
    <xf numFmtId="0" fontId="0" fillId="15" borderId="7" xfId="0" applyFill="1" applyBorder="1" applyAlignment="1" applyProtection="1">
      <alignment horizontal="left"/>
      <protection hidden="1"/>
    </xf>
    <xf numFmtId="0" fontId="32" fillId="15" borderId="0" xfId="0" applyFont="1" applyFill="1" applyProtection="1">
      <protection hidden="1"/>
    </xf>
    <xf numFmtId="0" fontId="33" fillId="15" borderId="0" xfId="0" applyFont="1" applyFill="1" applyProtection="1">
      <protection hidden="1"/>
    </xf>
    <xf numFmtId="0" fontId="33" fillId="15" borderId="0" xfId="0" applyFont="1" applyFill="1" applyAlignment="1" applyProtection="1">
      <alignment horizontal="right"/>
      <protection hidden="1"/>
    </xf>
    <xf numFmtId="0" fontId="37" fillId="15" borderId="0" xfId="0" applyFont="1" applyFill="1" applyProtection="1">
      <protection hidden="1"/>
    </xf>
    <xf numFmtId="0" fontId="34" fillId="15" borderId="0" xfId="0" applyFont="1" applyFill="1" applyAlignment="1" applyProtection="1">
      <alignment horizontal="left"/>
      <protection hidden="1"/>
    </xf>
    <xf numFmtId="0" fontId="35" fillId="15" borderId="0" xfId="3" applyFont="1" applyFill="1" applyAlignment="1" applyProtection="1">
      <alignment horizontal="right"/>
      <protection hidden="1"/>
    </xf>
    <xf numFmtId="0" fontId="0" fillId="0" borderId="23" xfId="0" applyBorder="1"/>
    <xf numFmtId="0" fontId="0" fillId="0" borderId="25" xfId="0" applyBorder="1"/>
    <xf numFmtId="0" fontId="0" fillId="0" borderId="24" xfId="0" applyBorder="1"/>
    <xf numFmtId="0" fontId="0" fillId="0" borderId="26" xfId="0" applyBorder="1"/>
    <xf numFmtId="0" fontId="4" fillId="0" borderId="12" xfId="3" applyBorder="1"/>
    <xf numFmtId="0" fontId="3" fillId="0" borderId="10" xfId="3" applyFont="1" applyBorder="1"/>
    <xf numFmtId="0" fontId="3" fillId="0" borderId="11" xfId="3" applyFont="1" applyBorder="1"/>
    <xf numFmtId="1" fontId="0" fillId="8" borderId="0" xfId="0" applyNumberFormat="1" applyFill="1" applyProtection="1">
      <protection hidden="1"/>
    </xf>
    <xf numFmtId="168" fontId="0" fillId="0" borderId="25" xfId="0" applyNumberFormat="1" applyBorder="1" applyProtection="1">
      <protection hidden="1"/>
    </xf>
    <xf numFmtId="168" fontId="0" fillId="15" borderId="10" xfId="0" applyNumberFormat="1" applyFill="1" applyBorder="1" applyProtection="1">
      <protection hidden="1"/>
    </xf>
    <xf numFmtId="0" fontId="0" fillId="16" borderId="0" xfId="0" applyFill="1"/>
    <xf numFmtId="0" fontId="0" fillId="0" borderId="28" xfId="0" applyBorder="1"/>
    <xf numFmtId="0" fontId="37" fillId="8" borderId="0" xfId="0" applyFont="1" applyFill="1" applyProtection="1">
      <protection hidden="1"/>
    </xf>
    <xf numFmtId="0" fontId="33" fillId="15" borderId="2" xfId="0" applyFont="1" applyFill="1" applyBorder="1" applyProtection="1">
      <protection hidden="1"/>
    </xf>
    <xf numFmtId="0" fontId="33" fillId="15" borderId="3" xfId="0" applyFont="1" applyFill="1" applyBorder="1" applyProtection="1">
      <protection hidden="1"/>
    </xf>
    <xf numFmtId="0" fontId="35" fillId="15" borderId="3" xfId="3" applyFont="1" applyFill="1" applyBorder="1" applyAlignment="1" applyProtection="1">
      <alignment horizontal="right"/>
      <protection hidden="1"/>
    </xf>
    <xf numFmtId="0" fontId="35" fillId="15" borderId="4" xfId="3" applyFont="1" applyFill="1" applyBorder="1" applyProtection="1">
      <protection hidden="1"/>
    </xf>
    <xf numFmtId="0" fontId="34" fillId="15" borderId="5" xfId="0" applyFont="1" applyFill="1" applyBorder="1" applyProtection="1">
      <protection hidden="1"/>
    </xf>
    <xf numFmtId="0" fontId="35" fillId="15" borderId="6" xfId="3" applyFont="1" applyFill="1" applyBorder="1" applyProtection="1">
      <protection hidden="1"/>
    </xf>
    <xf numFmtId="0" fontId="33" fillId="15" borderId="5" xfId="0" applyFont="1" applyFill="1" applyBorder="1" applyProtection="1">
      <protection hidden="1"/>
    </xf>
    <xf numFmtId="0" fontId="33" fillId="15" borderId="7" xfId="0" applyFont="1" applyFill="1" applyBorder="1" applyProtection="1">
      <protection hidden="1"/>
    </xf>
    <xf numFmtId="0" fontId="33" fillId="15" borderId="8" xfId="0" applyFont="1" applyFill="1" applyBorder="1" applyProtection="1">
      <protection hidden="1"/>
    </xf>
    <xf numFmtId="0" fontId="35" fillId="15" borderId="8" xfId="3" applyFont="1" applyFill="1" applyBorder="1" applyAlignment="1" applyProtection="1">
      <alignment horizontal="right"/>
      <protection hidden="1"/>
    </xf>
    <xf numFmtId="0" fontId="35" fillId="15" borderId="9" xfId="3" applyFont="1" applyFill="1" applyBorder="1" applyProtection="1">
      <protection hidden="1"/>
    </xf>
    <xf numFmtId="0" fontId="33" fillId="15" borderId="6" xfId="0" applyFont="1" applyFill="1" applyBorder="1" applyProtection="1">
      <protection hidden="1"/>
    </xf>
    <xf numFmtId="0" fontId="33" fillId="15" borderId="8" xfId="0" applyFont="1" applyFill="1" applyBorder="1" applyAlignment="1" applyProtection="1">
      <alignment horizontal="right"/>
      <protection hidden="1"/>
    </xf>
    <xf numFmtId="0" fontId="33" fillId="15" borderId="9" xfId="0" applyFont="1" applyFill="1" applyBorder="1" applyProtection="1">
      <protection hidden="1"/>
    </xf>
    <xf numFmtId="0" fontId="13" fillId="15" borderId="8" xfId="0" applyFont="1" applyFill="1" applyBorder="1" applyAlignment="1" applyProtection="1">
      <alignment horizontal="right"/>
      <protection hidden="1"/>
    </xf>
    <xf numFmtId="168" fontId="0" fillId="15" borderId="26" xfId="0" applyNumberFormat="1" applyFill="1" applyBorder="1" applyProtection="1">
      <protection hidden="1"/>
    </xf>
    <xf numFmtId="0" fontId="0" fillId="0" borderId="30" xfId="0" applyBorder="1"/>
    <xf numFmtId="0" fontId="33" fillId="7" borderId="24" xfId="0" applyFont="1" applyFill="1" applyBorder="1" applyProtection="1">
      <protection locked="0" hidden="1"/>
    </xf>
    <xf numFmtId="0" fontId="33" fillId="7" borderId="25" xfId="0" applyFont="1" applyFill="1" applyBorder="1" applyProtection="1">
      <protection locked="0" hidden="1"/>
    </xf>
    <xf numFmtId="0" fontId="33" fillId="7" borderId="26" xfId="0" applyFont="1" applyFill="1" applyBorder="1" applyProtection="1">
      <protection locked="0" hidden="1"/>
    </xf>
    <xf numFmtId="2" fontId="0" fillId="7" borderId="25" xfId="0" applyNumberFormat="1" applyFill="1" applyBorder="1" applyProtection="1">
      <protection locked="0" hidden="1"/>
    </xf>
    <xf numFmtId="0" fontId="0" fillId="7" borderId="5" xfId="0" applyFill="1" applyBorder="1" applyAlignment="1" applyProtection="1">
      <alignment horizontal="center"/>
      <protection locked="0" hidden="1"/>
    </xf>
    <xf numFmtId="0" fontId="0" fillId="0" borderId="25" xfId="0" applyBorder="1" applyProtection="1">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9"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7" xfId="0" applyBorder="1" applyAlignment="1">
      <alignment horizontal="center"/>
    </xf>
    <xf numFmtId="0" fontId="0" fillId="0" borderId="0" xfId="0"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4" fillId="0" borderId="0" xfId="3"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3" fillId="0" borderId="2" xfId="0" applyFont="1" applyBorder="1" applyAlignment="1">
      <alignment horizontal="center"/>
    </xf>
    <xf numFmtId="0" fontId="23" fillId="0" borderId="4" xfId="0" applyFont="1" applyBorder="1" applyAlignment="1">
      <alignment horizontal="center"/>
    </xf>
  </cellXfs>
  <cellStyles count="12">
    <cellStyle name="Comma 2" xfId="5" xr:uid="{00000000-0005-0000-0000-000000000000}"/>
    <cellStyle name="Comma 3" xfId="2" xr:uid="{00000000-0005-0000-0000-000001000000}"/>
    <cellStyle name="Comma 3 2" xfId="8" xr:uid="{00000000-0005-0000-0000-000001000000}"/>
    <cellStyle name="Normal 2" xfId="3" xr:uid="{00000000-0005-0000-0000-000003000000}"/>
    <cellStyle name="Normal 2 2" xfId="9" xr:uid="{00000000-0005-0000-0000-000003000000}"/>
    <cellStyle name="Normal 3" xfId="4" xr:uid="{00000000-0005-0000-0000-000004000000}"/>
    <cellStyle name="Normal 4" xfId="1" xr:uid="{00000000-0005-0000-0000-000005000000}"/>
    <cellStyle name="Normal 4 2" xfId="7" xr:uid="{00000000-0005-0000-0000-000006000000}"/>
    <cellStyle name="Normal 4 2 2" xfId="11" xr:uid="{00000000-0005-0000-0000-000006000000}"/>
    <cellStyle name="Normal 4 3" xfId="6" xr:uid="{00000000-0005-0000-0000-000007000000}"/>
    <cellStyle name="Normal 4 3 2" xfId="10" xr:uid="{00000000-0005-0000-0000-000007000000}"/>
    <cellStyle name="Standard" xfId="0" builtinId="0"/>
  </cellStyles>
  <dxfs count="0"/>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78.363025080028464</c:v>
                </c:pt>
                <c:pt idx="1">
                  <c:v>78.120746346465268</c:v>
                </c:pt>
                <c:pt idx="2">
                  <c:v>77.876913734360983</c:v>
                </c:pt>
                <c:pt idx="3">
                  <c:v>77.631486696391676</c:v>
                </c:pt>
                <c:pt idx="4">
                  <c:v>77.384424836833389</c:v>
                </c:pt>
                <c:pt idx="5">
                  <c:v>77.13568800756336</c:v>
                </c:pt>
                <c:pt idx="6">
                  <c:v>76.885236408034814</c:v>
                </c:pt>
                <c:pt idx="7">
                  <c:v>76.633030688884119</c:v>
                </c:pt>
                <c:pt idx="8">
                  <c:v>76.379032058777213</c:v>
                </c:pt>
                <c:pt idx="9">
                  <c:v>76.123202394048491</c:v>
                </c:pt>
                <c:pt idx="10">
                  <c:v>75.865504350634879</c:v>
                </c:pt>
                <c:pt idx="11">
                  <c:v>75.605901477756689</c:v>
                </c:pt>
                <c:pt idx="12">
                  <c:v>75.344358332750986</c:v>
                </c:pt>
                <c:pt idx="13">
                  <c:v>75.080840596417502</c:v>
                </c:pt>
                <c:pt idx="14">
                  <c:v>74.815315188201083</c:v>
                </c:pt>
                <c:pt idx="15">
                  <c:v>74.547750380499053</c:v>
                </c:pt>
                <c:pt idx="16">
                  <c:v>74.278115911354732</c:v>
                </c:pt>
                <c:pt idx="17">
                  <c:v>74.006383094778585</c:v>
                </c:pt>
                <c:pt idx="18">
                  <c:v>73.732524927927585</c:v>
                </c:pt>
                <c:pt idx="19">
                  <c:v>73.456516194365577</c:v>
                </c:pt>
                <c:pt idx="20">
                  <c:v>73.178333562638016</c:v>
                </c:pt>
                <c:pt idx="21">
                  <c:v>72.897955679403296</c:v>
                </c:pt>
                <c:pt idx="22">
                  <c:v>72.615363256392513</c:v>
                </c:pt>
                <c:pt idx="23">
                  <c:v>72.330539150497216</c:v>
                </c:pt>
                <c:pt idx="24">
                  <c:v>72.04346843633401</c:v>
                </c:pt>
                <c:pt idx="25">
                  <c:v>71.754138470681582</c:v>
                </c:pt>
                <c:pt idx="26">
                  <c:v>71.462538948250341</c:v>
                </c:pt>
                <c:pt idx="27">
                  <c:v>71.168661948311808</c:v>
                </c:pt>
                <c:pt idx="28">
                  <c:v>70.872501971790612</c:v>
                </c:pt>
                <c:pt idx="29">
                  <c:v>70.574055968505036</c:v>
                </c:pt>
                <c:pt idx="30">
                  <c:v>70.273323354326081</c:v>
                </c:pt>
                <c:pt idx="31">
                  <c:v>69.970306018117839</c:v>
                </c:pt>
                <c:pt idx="32">
                  <c:v>69.665008318412546</c:v>
                </c:pt>
                <c:pt idx="33">
                  <c:v>69.357437069866251</c:v>
                </c:pt>
                <c:pt idx="34">
                  <c:v>69.047601519635265</c:v>
                </c:pt>
                <c:pt idx="35">
                  <c:v>68.735513313901919</c:v>
                </c:pt>
                <c:pt idx="36">
                  <c:v>68.421186454865875</c:v>
                </c:pt>
                <c:pt idx="37">
                  <c:v>68.104637248598735</c:v>
                </c:pt>
                <c:pt idx="38">
                  <c:v>67.785884244236485</c:v>
                </c:pt>
                <c:pt idx="39">
                  <c:v>67.464948165053698</c:v>
                </c:pt>
                <c:pt idx="40">
                  <c:v>67.141851832022738</c:v>
                </c:pt>
                <c:pt idx="41">
                  <c:v>66.81662008051677</c:v>
                </c:pt>
                <c:pt idx="42">
                  <c:v>66.489279670857925</c:v>
                </c:pt>
                <c:pt idx="43">
                  <c:v>66.159859193444973</c:v>
                </c:pt>
                <c:pt idx="44">
                  <c:v>65.828388969222559</c:v>
                </c:pt>
                <c:pt idx="45">
                  <c:v>65.494900946264863</c:v>
                </c:pt>
                <c:pt idx="46">
                  <c:v>65.159428593258312</c:v>
                </c:pt>
                <c:pt idx="47">
                  <c:v>64.82200679065771</c:v>
                </c:pt>
                <c:pt idx="48">
                  <c:v>64.482671720284387</c:v>
                </c:pt>
                <c:pt idx="49">
                  <c:v>64.141460754112686</c:v>
                </c:pt>
                <c:pt idx="50">
                  <c:v>63.798412342963402</c:v>
                </c:pt>
                <c:pt idx="51">
                  <c:v>63.453565905792793</c:v>
                </c:pt>
                <c:pt idx="52">
                  <c:v>63.106961720224099</c:v>
                </c:pt>
                <c:pt idx="53">
                  <c:v>62.758640814926395</c:v>
                </c:pt>
                <c:pt idx="54">
                  <c:v>62.408644864401182</c:v>
                </c:pt>
                <c:pt idx="55">
                  <c:v>62.057016086682694</c:v>
                </c:pt>
                <c:pt idx="56">
                  <c:v>61.703797144410437</c:v>
                </c:pt>
                <c:pt idx="57">
                  <c:v>61.349031049678302</c:v>
                </c:pt>
                <c:pt idx="58">
                  <c:v>60.992761073011941</c:v>
                </c:pt>
                <c:pt idx="59">
                  <c:v>60.635030656773253</c:v>
                </c:pt>
                <c:pt idx="60">
                  <c:v>60.27588333324006</c:v>
                </c:pt>
                <c:pt idx="61">
                  <c:v>59.915362647558624</c:v>
                </c:pt>
                <c:pt idx="62">
                  <c:v>59.553512085719774</c:v>
                </c:pt>
                <c:pt idx="63">
                  <c:v>59.190375007663228</c:v>
                </c:pt>
                <c:pt idx="64">
                  <c:v>58.825994585573476</c:v>
                </c:pt>
                <c:pt idx="65">
                  <c:v>58.460413747390049</c:v>
                </c:pt>
                <c:pt idx="66">
                  <c:v>58.093675125521258</c:v>
                </c:pt>
                <c:pt idx="67">
                  <c:v>57.725821010713943</c:v>
                </c:pt>
                <c:pt idx="68">
                  <c:v>57.356893311007646</c:v>
                </c:pt>
                <c:pt idx="69">
                  <c:v>56.986933515671588</c:v>
                </c:pt>
                <c:pt idx="70">
                  <c:v>56.615982664001308</c:v>
                </c:pt>
                <c:pt idx="71">
                  <c:v>56.244081318835519</c:v>
                </c:pt>
                <c:pt idx="72">
                  <c:v>55.871269544632234</c:v>
                </c:pt>
                <c:pt idx="73">
                  <c:v>55.4975868899351</c:v>
                </c:pt>
                <c:pt idx="74">
                  <c:v>55.123072374046991</c:v>
                </c:pt>
                <c:pt idx="75">
                  <c:v>54.747764477721546</c:v>
                </c:pt>
                <c:pt idx="76">
                  <c:v>54.371701137678102</c:v>
                </c:pt>
                <c:pt idx="77">
                  <c:v>53.994919744739036</c:v>
                </c:pt>
                <c:pt idx="78">
                  <c:v>53.617457145391747</c:v>
                </c:pt>
                <c:pt idx="79">
                  <c:v>53.239349646572826</c:v>
                </c:pt>
                <c:pt idx="80">
                  <c:v>52.860633023476723</c:v>
                </c:pt>
                <c:pt idx="81">
                  <c:v>52.481342530192514</c:v>
                </c:pt>
                <c:pt idx="82">
                  <c:v>52.101512912975565</c:v>
                </c:pt>
                <c:pt idx="83">
                  <c:v>51.721178425968397</c:v>
                </c:pt>
                <c:pt idx="84">
                  <c:v>51.340372849186167</c:v>
                </c:pt>
                <c:pt idx="85">
                  <c:v>50.959129508592696</c:v>
                </c:pt>
                <c:pt idx="86">
                  <c:v>50.577481298094405</c:v>
                </c:pt>
                <c:pt idx="87">
                  <c:v>50.1954607032905</c:v>
                </c:pt>
                <c:pt idx="88">
                  <c:v>49.813099826820689</c:v>
                </c:pt>
                <c:pt idx="89">
                  <c:v>49.430430415161418</c:v>
                </c:pt>
                <c:pt idx="90">
                  <c:v>49.04748388672337</c:v>
                </c:pt>
                <c:pt idx="91">
                  <c:v>48.66429136111573</c:v>
                </c:pt>
                <c:pt idx="92">
                  <c:v>48.280883689442113</c:v>
                </c:pt>
                <c:pt idx="93">
                  <c:v>47.897291485501853</c:v>
                </c:pt>
                <c:pt idx="94">
                  <c:v>47.513545157775567</c:v>
                </c:pt>
                <c:pt idx="95">
                  <c:v>47.129674942077671</c:v>
                </c:pt>
                <c:pt idx="96">
                  <c:v>46.745710934760766</c:v>
                </c:pt>
                <c:pt idx="97">
                  <c:v>46.361683126364497</c:v>
                </c:pt>
                <c:pt idx="98">
                  <c:v>45.977621435599033</c:v>
                </c:pt>
                <c:pt idx="99">
                  <c:v>45.593555743560863</c:v>
                </c:pt>
                <c:pt idx="100">
                  <c:v>45.209515928074843</c:v>
                </c:pt>
                <c:pt idx="101">
                  <c:v>44.825531898061371</c:v>
                </c:pt>
                <c:pt idx="102">
                  <c:v>44.441633627825908</c:v>
                </c:pt>
                <c:pt idx="103">
                  <c:v>44.057851191166222</c:v>
                </c:pt>
                <c:pt idx="104">
                  <c:v>43.674214795195525</c:v>
                </c:pt>
                <c:pt idx="105">
                  <c:v>43.290754813772871</c:v>
                </c:pt>
                <c:pt idx="106">
                  <c:v>42.907501820433126</c:v>
                </c:pt>
                <c:pt idx="107">
                  <c:v>42.52448662070482</c:v>
                </c:pt>
                <c:pt idx="108">
                  <c:v>42.141740283700003</c:v>
                </c:pt>
                <c:pt idx="109">
                  <c:v>41.759294172855093</c:v>
                </c:pt>
                <c:pt idx="110">
                  <c:v>41.377179975699512</c:v>
                </c:pt>
                <c:pt idx="111">
                  <c:v>40.995429732521316</c:v>
                </c:pt>
                <c:pt idx="112">
                  <c:v>40.614075863793595</c:v>
                </c:pt>
                <c:pt idx="113">
                  <c:v>40.233151196220675</c:v>
                </c:pt>
                <c:pt idx="114">
                  <c:v>39.852688987255782</c:v>
                </c:pt>
                <c:pt idx="115">
                  <c:v>39.472722947934514</c:v>
                </c:pt>
                <c:pt idx="116">
                  <c:v>39.093287263865918</c:v>
                </c:pt>
                <c:pt idx="117">
                  <c:v>38.71441661421018</c:v>
                </c:pt>
                <c:pt idx="118">
                  <c:v>38.336146188471922</c:v>
                </c:pt>
                <c:pt idx="119">
                  <c:v>37.958511700927907</c:v>
                </c:pt>
                <c:pt idx="120">
                  <c:v>37.581549402504734</c:v>
                </c:pt>
                <c:pt idx="121">
                  <c:v>37.205296089915315</c:v>
                </c:pt>
                <c:pt idx="122">
                  <c:v>36.829789111861274</c:v>
                </c:pt>
                <c:pt idx="123">
                  <c:v>36.455066372102714</c:v>
                </c:pt>
                <c:pt idx="124">
                  <c:v>36.081166329196478</c:v>
                </c:pt>
                <c:pt idx="125">
                  <c:v>35.708127992703488</c:v>
                </c:pt>
                <c:pt idx="126">
                  <c:v>35.335990915664716</c:v>
                </c:pt>
                <c:pt idx="127">
                  <c:v>34.964795183152205</c:v>
                </c:pt>
                <c:pt idx="128">
                  <c:v>34.594581396702083</c:v>
                </c:pt>
                <c:pt idx="129">
                  <c:v>34.225390654445448</c:v>
                </c:pt>
                <c:pt idx="130">
                  <c:v>33.857264526764951</c:v>
                </c:pt>
                <c:pt idx="131">
                  <c:v>33.490245027311843</c:v>
                </c:pt>
                <c:pt idx="132">
                  <c:v>33.124374579239436</c:v>
                </c:pt>
                <c:pt idx="133">
                  <c:v>32.759695976521513</c:v>
                </c:pt>
                <c:pt idx="134">
                  <c:v>32.396252340250754</c:v>
                </c:pt>
                <c:pt idx="135">
                  <c:v>32.034087069832722</c:v>
                </c:pt>
                <c:pt idx="136">
                  <c:v>31.673243789021029</c:v>
                </c:pt>
                <c:pt idx="137">
                  <c:v>31.313766286771351</c:v>
                </c:pt>
                <c:pt idx="138">
                  <c:v>30.955698452924729</c:v>
                </c:pt>
                <c:pt idx="139">
                  <c:v>30.599084208770847</c:v>
                </c:pt>
                <c:pt idx="140">
                  <c:v>30.243967432581943</c:v>
                </c:pt>
                <c:pt idx="141">
                  <c:v>29.890391880252292</c:v>
                </c:pt>
                <c:pt idx="142">
                  <c:v>29.538401101226711</c:v>
                </c:pt>
                <c:pt idx="143">
                  <c:v>29.188038349948407</c:v>
                </c:pt>
                <c:pt idx="144">
                  <c:v>28.839346493108408</c:v>
                </c:pt>
                <c:pt idx="145">
                  <c:v>28.492367913031664</c:v>
                </c:pt>
                <c:pt idx="146">
                  <c:v>28.14714440758771</c:v>
                </c:pt>
                <c:pt idx="147">
                  <c:v>27.803717087064811</c:v>
                </c:pt>
                <c:pt idx="148">
                  <c:v>27.462126268501304</c:v>
                </c:pt>
                <c:pt idx="149">
                  <c:v>27.122411368016529</c:v>
                </c:pt>
                <c:pt idx="150">
                  <c:v>26.7846107917326</c:v>
                </c:pt>
                <c:pt idx="151">
                  <c:v>26.448761825922151</c:v>
                </c:pt>
                <c:pt idx="152">
                  <c:v>26.114900527059014</c:v>
                </c:pt>
                <c:pt idx="153">
                  <c:v>25.783061612481642</c:v>
                </c:pt>
                <c:pt idx="154">
                  <c:v>25.453278352412596</c:v>
                </c:pt>
                <c:pt idx="155">
                  <c:v>25.125582464093554</c:v>
                </c:pt>
                <c:pt idx="156">
                  <c:v>24.8000040088167</c:v>
                </c:pt>
                <c:pt idx="157">
                  <c:v>24.47657129263472</c:v>
                </c:pt>
                <c:pt idx="158">
                  <c:v>24.155310771532278</c:v>
                </c:pt>
                <c:pt idx="159">
                  <c:v>23.836246961828781</c:v>
                </c:pt>
                <c:pt idx="160">
                  <c:v>23.519402356561297</c:v>
                </c:pt>
                <c:pt idx="161">
                  <c:v>23.204797348567293</c:v>
                </c:pt>
                <c:pt idx="162">
                  <c:v>22.892450160943095</c:v>
                </c:pt>
                <c:pt idx="163">
                  <c:v>22.582376785509819</c:v>
                </c:pt>
                <c:pt idx="164">
                  <c:v>22.274590929854657</c:v>
                </c:pt>
                <c:pt idx="165">
                  <c:v>21.969103973453493</c:v>
                </c:pt>
                <c:pt idx="166">
                  <c:v>21.665924933305043</c:v>
                </c:pt>
                <c:pt idx="167">
                  <c:v>21.365060439426735</c:v>
                </c:pt>
                <c:pt idx="168">
                  <c:v>21.066514720479379</c:v>
                </c:pt>
                <c:pt idx="169">
                  <c:v>20.770289599696138</c:v>
                </c:pt>
                <c:pt idx="170">
                  <c:v>20.476384501201615</c:v>
                </c:pt>
                <c:pt idx="171">
                  <c:v>20.184796466713685</c:v>
                </c:pt>
                <c:pt idx="172">
                  <c:v>19.895520182527839</c:v>
                </c:pt>
                <c:pt idx="173">
                  <c:v>19.608548016593016</c:v>
                </c:pt>
                <c:pt idx="174">
                  <c:v>19.323870065400989</c:v>
                </c:pt>
                <c:pt idx="175">
                  <c:v>19.041474210326864</c:v>
                </c:pt>
                <c:pt idx="176">
                  <c:v>18.761346182980922</c:v>
                </c:pt>
                <c:pt idx="177">
                  <c:v>18.483469639061486</c:v>
                </c:pt>
                <c:pt idx="178">
                  <c:v>18.207826240133343</c:v>
                </c:pt>
                <c:pt idx="179">
                  <c:v>17.934395742702293</c:v>
                </c:pt>
                <c:pt idx="180">
                  <c:v>17.663156093911219</c:v>
                </c:pt>
                <c:pt idx="181">
                  <c:v>17.394083533142158</c:v>
                </c:pt>
                <c:pt idx="182">
                  <c:v>17.127152698786322</c:v>
                </c:pt>
                <c:pt idx="183">
                  <c:v>16.862336739423519</c:v>
                </c:pt>
                <c:pt idx="184">
                  <c:v>16.599607428643711</c:v>
                </c:pt>
                <c:pt idx="185">
                  <c:v>16.338935282746021</c:v>
                </c:pt>
                <c:pt idx="186">
                  <c:v>16.080289680558955</c:v>
                </c:pt>
                <c:pt idx="187">
                  <c:v>15.823638984643173</c:v>
                </c:pt>
                <c:pt idx="188">
                  <c:v>15.568950663161766</c:v>
                </c:pt>
                <c:pt idx="189">
                  <c:v>15.316191411738307</c:v>
                </c:pt>
                <c:pt idx="190">
                  <c:v>15.06532727465453</c:v>
                </c:pt>
                <c:pt idx="191">
                  <c:v>14.816323764786778</c:v>
                </c:pt>
                <c:pt idx="192">
                  <c:v>14.569145981722148</c:v>
                </c:pt>
                <c:pt idx="193">
                  <c:v>14.323758727547411</c:v>
                </c:pt>
                <c:pt idx="194">
                  <c:v>14.080126619852374</c:v>
                </c:pt>
                <c:pt idx="195">
                  <c:v>13.838214201543067</c:v>
                </c:pt>
                <c:pt idx="196">
                  <c:v>13.597986047112089</c:v>
                </c:pt>
                <c:pt idx="197">
                  <c:v>13.359406865067738</c:v>
                </c:pt>
                <c:pt idx="198">
                  <c:v>13.122441596272216</c:v>
                </c:pt>
                <c:pt idx="199">
                  <c:v>12.887055507991347</c:v>
                </c:pt>
                <c:pt idx="200">
                  <c:v>12.653214283506326</c:v>
                </c:pt>
                <c:pt idx="201">
                  <c:v>12.420884107182037</c:v>
                </c:pt>
                <c:pt idx="202">
                  <c:v>12.190031744930776</c:v>
                </c:pt>
                <c:pt idx="203">
                  <c:v>11.960624620047417</c:v>
                </c:pt>
                <c:pt idx="204">
                  <c:v>11.732630884432275</c:v>
                </c:pt>
                <c:pt idx="205">
                  <c:v>11.506019485244778</c:v>
                </c:pt>
                <c:pt idx="206">
                  <c:v>11.280760227066274</c:v>
                </c:pt>
                <c:pt idx="207">
                  <c:v>11.056823829671609</c:v>
                </c:pt>
                <c:pt idx="208">
                  <c:v>10.834181981532932</c:v>
                </c:pt>
                <c:pt idx="209">
                  <c:v>10.612807389197172</c:v>
                </c:pt>
                <c:pt idx="210">
                  <c:v>10.392673822694547</c:v>
                </c:pt>
                <c:pt idx="211">
                  <c:v>10.173756157147064</c:v>
                </c:pt>
                <c:pt idx="212">
                  <c:v>9.9560304107542326</c:v>
                </c:pt>
                <c:pt idx="213">
                  <c:v>9.7394737793403063</c:v>
                </c:pt>
                <c:pt idx="214">
                  <c:v>9.5240646676511993</c:v>
                </c:pt>
                <c:pt idx="215">
                  <c:v>9.3097827175875185</c:v>
                </c:pt>
                <c:pt idx="216">
                  <c:v>9.0966088335627937</c:v>
                </c:pt>
                <c:pt idx="217">
                  <c:v>8.8845252051683659</c:v>
                </c:pt>
                <c:pt idx="218">
                  <c:v>8.6735153273244716</c:v>
                </c:pt>
                <c:pt idx="219">
                  <c:v>8.4635640180876042</c:v>
                </c:pt>
                <c:pt idx="220">
                  <c:v>8.2546574342772594</c:v>
                </c:pt>
                <c:pt idx="221">
                  <c:v>8.046783085074031</c:v>
                </c:pt>
                <c:pt idx="222">
                  <c:v>7.8399298437312499</c:v>
                </c:pt>
                <c:pt idx="223">
                  <c:v>7.6340879575284193</c:v>
                </c:pt>
                <c:pt idx="224">
                  <c:v>7.4292490560843314</c:v>
                </c:pt>
                <c:pt idx="225">
                  <c:v>7.2254061581302178</c:v>
                </c:pt>
                <c:pt idx="226">
                  <c:v>7.0225536768335104</c:v>
                </c:pt>
                <c:pt idx="227">
                  <c:v>6.8206874237436566</c:v>
                </c:pt>
                <c:pt idx="228">
                  <c:v>6.6198046114183295</c:v>
                </c:pt>
                <c:pt idx="229">
                  <c:v>6.4199038547725831</c:v>
                </c:pt>
                <c:pt idx="230">
                  <c:v>6.2209851711767552</c:v>
                </c:pt>
                <c:pt idx="231">
                  <c:v>6.0230499793137602</c:v>
                </c:pt>
                <c:pt idx="232">
                  <c:v>5.8261010967891291</c:v>
                </c:pt>
                <c:pt idx="233">
                  <c:v>5.6301427364732817</c:v>
                </c:pt>
                <c:pt idx="234">
                  <c:v>5.4351805015362764</c:v>
                </c:pt>
                <c:pt idx="235">
                  <c:v>5.2412213791227664</c:v>
                </c:pt>
                <c:pt idx="236">
                  <c:v>5.0482737325977576</c:v>
                </c:pt>
                <c:pt idx="237">
                  <c:v>4.8563472922784126</c:v>
                </c:pt>
                <c:pt idx="238">
                  <c:v>4.6654531445527434</c:v>
                </c:pt>
                <c:pt idx="239">
                  <c:v>4.4756037192742868</c:v>
                </c:pt>
                <c:pt idx="240">
                  <c:v>4.2868127753037504</c:v>
                </c:pt>
                <c:pt idx="241">
                  <c:v>4.0990953840604956</c:v>
                </c:pt>
                <c:pt idx="242">
                  <c:v>3.9124679109346716</c:v>
                </c:pt>
                <c:pt idx="243">
                  <c:v>3.7269479943973867</c:v>
                </c:pt>
                <c:pt idx="244">
                  <c:v>3.542554522640188</c:v>
                </c:pt>
                <c:pt idx="245">
                  <c:v>3.3593076075671071</c:v>
                </c:pt>
                <c:pt idx="246">
                  <c:v>3.1772285559559736</c:v>
                </c:pt>
                <c:pt idx="247">
                  <c:v>2.9963398376006256</c:v>
                </c:pt>
                <c:pt idx="248">
                  <c:v>2.8166650502457395</c:v>
                </c:pt>
                <c:pt idx="249">
                  <c:v>2.6382288811238936</c:v>
                </c:pt>
                <c:pt idx="250">
                  <c:v>2.4610570649084353</c:v>
                </c:pt>
                <c:pt idx="251">
                  <c:v>2.2851763378999546</c:v>
                </c:pt>
                <c:pt idx="252">
                  <c:v>2.110614388272861</c:v>
                </c:pt>
                <c:pt idx="253">
                  <c:v>1.9373998022184102</c:v>
                </c:pt>
                <c:pt idx="254">
                  <c:v>1.7655620058354322</c:v>
                </c:pt>
                <c:pt idx="255">
                  <c:v>1.5951312026373954</c:v>
                </c:pt>
                <c:pt idx="256">
                  <c:v>1.4261383065657758</c:v>
                </c:pt>
                <c:pt idx="257">
                  <c:v>1.2586148704216249</c:v>
                </c:pt>
                <c:pt idx="258">
                  <c:v>1.0925930096592333</c:v>
                </c:pt>
                <c:pt idx="259">
                  <c:v>0.92810532151348479</c:v>
                </c:pt>
                <c:pt idx="260">
                  <c:v>0.76518479947076656</c:v>
                </c:pt>
                <c:pt idx="261">
                  <c:v>0.60386474312960947</c:v>
                </c:pt>
                <c:pt idx="262">
                  <c:v>0.44417866353982488</c:v>
                </c:pt>
                <c:pt idx="263">
                  <c:v>0.28616018415512345</c:v>
                </c:pt>
                <c:pt idx="264">
                  <c:v>0.12984293757898782</c:v>
                </c:pt>
                <c:pt idx="265">
                  <c:v>-2.4739541663436414E-2</c:v>
                </c:pt>
                <c:pt idx="266">
                  <c:v>-0.17755392804624212</c:v>
                </c:pt>
                <c:pt idx="267">
                  <c:v>-0.32856721931859728</c:v>
                </c:pt>
                <c:pt idx="268">
                  <c:v>-0.47774685374761738</c:v>
                </c:pt>
                <c:pt idx="269">
                  <c:v>-0.6250608298846384</c:v>
                </c:pt>
                <c:pt idx="270">
                  <c:v>-0.77047782835995104</c:v>
                </c:pt>
                <c:pt idx="271">
                  <c:v>-0.9139673351583113</c:v>
                </c:pt>
                <c:pt idx="272">
                  <c:v>-1.0554997657815073</c:v>
                </c:pt>
                <c:pt idx="273">
                  <c:v>-1.1950465896580111</c:v>
                </c:pt>
                <c:pt idx="274">
                  <c:v>-1.3325804541192254</c:v>
                </c:pt>
                <c:pt idx="275">
                  <c:v>-1.4680753072265142</c:v>
                </c:pt>
                <c:pt idx="276">
                  <c:v>-1.6015065187044293</c:v>
                </c:pt>
                <c:pt idx="277">
                  <c:v>-1.7328509982144698</c:v>
                </c:pt>
                <c:pt idx="278">
                  <c:v>-1.8620873101853066</c:v>
                </c:pt>
                <c:pt idx="279">
                  <c:v>-1.9891957844150299</c:v>
                </c:pt>
                <c:pt idx="280">
                  <c:v>-2.1141586216578472</c:v>
                </c:pt>
                <c:pt idx="281">
                  <c:v>-2.2369599934238797</c:v>
                </c:pt>
                <c:pt idx="282">
                  <c:v>-2.3575861352395622</c:v>
                </c:pt>
                <c:pt idx="283">
                  <c:v>-2.4760254326478019</c:v>
                </c:pt>
                <c:pt idx="284">
                  <c:v>-2.5922684992673677</c:v>
                </c:pt>
                <c:pt idx="285">
                  <c:v>-2.7063082462798551</c:v>
                </c:pt>
                <c:pt idx="286">
                  <c:v>-2.8181399427698448</c:v>
                </c:pt>
                <c:pt idx="287">
                  <c:v>-2.9277612664106183</c:v>
                </c:pt>
                <c:pt idx="288">
                  <c:v>-3.035172344060463</c:v>
                </c:pt>
                <c:pt idx="289">
                  <c:v>-3.1403757819093898</c:v>
                </c:pt>
                <c:pt idx="290">
                  <c:v>-3.2433766849078078</c:v>
                </c:pt>
                <c:pt idx="291">
                  <c:v>-3.3441826652841748</c:v>
                </c:pt>
                <c:pt idx="292">
                  <c:v>-3.4428038400604217</c:v>
                </c:pt>
                <c:pt idx="293">
                  <c:v>-3.5392528175524602</c:v>
                </c:pt>
                <c:pt idx="294">
                  <c:v>-3.6335446729427328</c:v>
                </c:pt>
                <c:pt idx="295">
                  <c:v>-3.7256969130916797</c:v>
                </c:pt>
                <c:pt idx="296">
                  <c:v>-3.8157294308449661</c:v>
                </c:pt>
                <c:pt idx="297">
                  <c:v>-3.9036644491699688</c:v>
                </c:pt>
                <c:pt idx="298">
                  <c:v>-3.9895264555327774</c:v>
                </c:pt>
                <c:pt idx="299">
                  <c:v>-4.0733421269905454</c:v>
                </c:pt>
                <c:pt idx="300">
                  <c:v>-4.1551402465405332</c:v>
                </c:pt>
                <c:pt idx="301">
                  <c:v>-4.2349516113141652</c:v>
                </c:pt>
                <c:pt idx="302">
                  <c:v>-4.3128089332518469</c:v>
                </c:pt>
                <c:pt idx="303">
                  <c:v>-4.3887467329297998</c:v>
                </c:pt>
                <c:pt idx="304">
                  <c:v>-4.4628012272333972</c:v>
                </c:pt>
                <c:pt idx="305">
                  <c:v>-4.5350102115951838</c:v>
                </c:pt>
                <c:pt idx="306">
                  <c:v>-4.6054129375182455</c:v>
                </c:pt>
                <c:pt idx="307">
                  <c:v>-4.6740499861129896</c:v>
                </c:pt>
                <c:pt idx="308">
                  <c:v>-4.7409631383655331</c:v>
                </c:pt>
                <c:pt idx="309">
                  <c:v>-4.8061952428461918</c:v>
                </c:pt>
                <c:pt idx="310">
                  <c:v>-4.8697900815446191</c:v>
                </c:pt>
                <c:pt idx="311">
                  <c:v>-4.9317922344986638</c:v>
                </c:pt>
                <c:pt idx="312">
                  <c:v>-4.9922469438537957</c:v>
                </c:pt>
                <c:pt idx="313">
                  <c:v>-5.051199977959806</c:v>
                </c:pt>
                <c:pt idx="314">
                  <c:v>-5.1086974960798992</c:v>
                </c:pt>
                <c:pt idx="315">
                  <c:v>-5.1647859142526107</c:v>
                </c:pt>
                <c:pt idx="316">
                  <c:v>-5.2195117728122709</c:v>
                </c:pt>
                <c:pt idx="317">
                  <c:v>-5.2729216060417317</c:v>
                </c:pt>
                <c:pt idx="318">
                  <c:v>-5.3250618143963475</c:v>
                </c:pt>
                <c:pt idx="319">
                  <c:v>-5.3759785397091919</c:v>
                </c:pt>
                <c:pt idx="320">
                  <c:v>-5.4257175437581413</c:v>
                </c:pt>
                <c:pt idx="321">
                  <c:v>-5.4743240905504322</c:v>
                </c:pt>
                <c:pt idx="322">
                  <c:v>-5.5218428326570024</c:v>
                </c:pt>
                <c:pt idx="323">
                  <c:v>-5.5683177019093133</c:v>
                </c:pt>
                <c:pt idx="324">
                  <c:v>-5.6137918047549782</c:v>
                </c:pt>
                <c:pt idx="325">
                  <c:v>-5.6583073225556655</c:v>
                </c:pt>
                <c:pt idx="326">
                  <c:v>-5.701905417097052</c:v>
                </c:pt>
                <c:pt idx="327">
                  <c:v>-5.7446261415762914</c:v>
                </c:pt>
                <c:pt idx="328">
                  <c:v>-5.7865083573213338</c:v>
                </c:pt>
                <c:pt idx="329">
                  <c:v>-5.8275896564935152</c:v>
                </c:pt>
                <c:pt idx="330">
                  <c:v>-5.86790629101933</c:v>
                </c:pt>
                <c:pt idx="331">
                  <c:v>-5.9074931079932629</c:v>
                </c:pt>
                <c:pt idx="332">
                  <c:v>-5.9463834917835898</c:v>
                </c:pt>
                <c:pt idx="333">
                  <c:v>-5.9846093130744746</c:v>
                </c:pt>
                <c:pt idx="334">
                  <c:v>-6.0222008850581403</c:v>
                </c:pt>
                <c:pt idx="335">
                  <c:v>-6.059186926985392</c:v>
                </c:pt>
                <c:pt idx="336">
                  <c:v>-6.0955945352652048</c:v>
                </c:pt>
                <c:pt idx="337">
                  <c:v>-6.1314491622817657</c:v>
                </c:pt>
                <c:pt idx="338">
                  <c:v>-6.1667746030750239</c:v>
                </c:pt>
                <c:pt idx="339">
                  <c:v>-6.2015929900007238</c:v>
                </c:pt>
                <c:pt idx="340">
                  <c:v>-6.2359247954484012</c:v>
                </c:pt>
                <c:pt idx="341">
                  <c:v>-6.2697888426599881</c:v>
                </c:pt>
                <c:pt idx="342">
                  <c:v>-6.3032023246420916</c:v>
                </c:pt>
                <c:pt idx="343">
                  <c:v>-6.3361808311175487</c:v>
                </c:pt>
                <c:pt idx="344">
                  <c:v>-6.368738383407905</c:v>
                </c:pt>
                <c:pt idx="345">
                  <c:v>-6.4008874770776405</c:v>
                </c:pt>
                <c:pt idx="346">
                  <c:v>-6.432639132112814</c:v>
                </c:pt>
                <c:pt idx="347">
                  <c:v>-6.4640029503447707</c:v>
                </c:pt>
                <c:pt idx="348">
                  <c:v>-6.4949871797613294</c:v>
                </c:pt>
                <c:pt idx="349">
                  <c:v>-6.5255987852923525</c:v>
                </c:pt>
                <c:pt idx="350">
                  <c:v>-6.5558435255869156</c:v>
                </c:pt>
                <c:pt idx="351">
                  <c:v>-6.5857260352493983</c:v>
                </c:pt>
                <c:pt idx="352">
                  <c:v>-6.6152499119411274</c:v>
                </c:pt>
                <c:pt idx="353">
                  <c:v>-6.6444178077090479</c:v>
                </c:pt>
                <c:pt idx="354">
                  <c:v>-6.6732315238614426</c:v>
                </c:pt>
                <c:pt idx="355">
                  <c:v>-6.7016921086754824</c:v>
                </c:pt>
                <c:pt idx="356">
                  <c:v>-6.7297999571966489</c:v>
                </c:pt>
                <c:pt idx="357">
                  <c:v>-6.7575549123754675</c:v>
                </c:pt>
                <c:pt idx="358">
                  <c:v>-6.7849563667801149</c:v>
                </c:pt>
                <c:pt idx="359">
                  <c:v>-6.8120033641271593</c:v>
                </c:pt>
                <c:pt idx="360">
                  <c:v>-6.8386946998909837</c:v>
                </c:pt>
                <c:pt idx="361">
                  <c:v>-6.8650290202720523</c:v>
                </c:pt>
                <c:pt idx="362">
                  <c:v>-6.891004918844116</c:v>
                </c:pt>
                <c:pt idx="363">
                  <c:v>-6.9166210302412505</c:v>
                </c:pt>
                <c:pt idx="364">
                  <c:v>-6.94187612029602</c:v>
                </c:pt>
                <c:pt idx="365">
                  <c:v>-6.9667691721054812</c:v>
                </c:pt>
                <c:pt idx="366">
                  <c:v>-6.9912994675587656</c:v>
                </c:pt>
                <c:pt idx="367">
                  <c:v>-7.0154666639366052</c:v>
                </c:pt>
                <c:pt idx="368">
                  <c:v>-7.0392708652640845</c:v>
                </c:pt>
                <c:pt idx="369">
                  <c:v>-7.0627126881732325</c:v>
                </c:pt>
                <c:pt idx="370">
                  <c:v>-7.0857933221101099</c:v>
                </c:pt>
                <c:pt idx="371">
                  <c:v>-7.108514583796298</c:v>
                </c:pt>
                <c:pt idx="372">
                  <c:v>-7.1308789659279137</c:v>
                </c:pt>
                <c:pt idx="373">
                  <c:v>-7.1528896801695439</c:v>
                </c:pt>
                <c:pt idx="374">
                  <c:v>-7.1745506945628552</c:v>
                </c:pt>
                <c:pt idx="375">
                  <c:v>-7.1958667655390034</c:v>
                </c:pt>
                <c:pt idx="376">
                  <c:v>-7.2168434647739446</c:v>
                </c:pt>
                <c:pt idx="377">
                  <c:v>-7.2374872011807065</c:v>
                </c:pt>
                <c:pt idx="378">
                  <c:v>-7.2578052383781833</c:v>
                </c:pt>
                <c:pt idx="379">
                  <c:v>-7.2778057080089891</c:v>
                </c:pt>
                <c:pt idx="380">
                  <c:v>-7.297497619314429</c:v>
                </c:pt>
                <c:pt idx="381">
                  <c:v>-7.3168908653976361</c:v>
                </c:pt>
                <c:pt idx="382">
                  <c:v>-7.3359962266218037</c:v>
                </c:pt>
                <c:pt idx="383">
                  <c:v>-7.3548253716055019</c:v>
                </c:pt>
                <c:pt idx="384">
                  <c:v>-7.3733908562789185</c:v>
                </c:pt>
                <c:pt idx="385">
                  <c:v>-7.3917061214696211</c:v>
                </c:pt>
                <c:pt idx="386">
                  <c:v>-7.4097854894785957</c:v>
                </c:pt>
                <c:pt idx="387">
                  <c:v>-7.4276441601019805</c:v>
                </c:pt>
                <c:pt idx="388">
                  <c:v>-7.445298206538606</c:v>
                </c:pt>
                <c:pt idx="389">
                  <c:v>-7.4627645716126576</c:v>
                </c:pt>
                <c:pt idx="390">
                  <c:v>-7.4800610647204566</c:v>
                </c:pt>
                <c:pt idx="391">
                  <c:v>-7.4972063598914609</c:v>
                </c:pt>
                <c:pt idx="392">
                  <c:v>-7.5142199953357487</c:v>
                </c:pt>
                <c:pt idx="393">
                  <c:v>-7.531122374826138</c:v>
                </c:pt>
                <c:pt idx="394">
                  <c:v>-7.5479347712422618</c:v>
                </c:pt>
                <c:pt idx="395">
                  <c:v>-7.5646793325840225</c:v>
                </c:pt>
                <c:pt idx="396">
                  <c:v>-7.5813790907402732</c:v>
                </c:pt>
                <c:pt idx="397">
                  <c:v>-7.5980579732743481</c:v>
                </c:pt>
                <c:pt idx="398">
                  <c:v>-7.6147408184755685</c:v>
                </c:pt>
                <c:pt idx="399">
                  <c:v>-7.6314533938984948</c:v>
                </c:pt>
                <c:pt idx="400">
                  <c:v>-7.6482224186024776</c:v>
                </c:pt>
                <c:pt idx="401">
                  <c:v>-7.6650755892797262</c:v>
                </c:pt>
                <c:pt idx="402">
                  <c:v>-7.6820416104503551</c:v>
                </c:pt>
                <c:pt idx="403">
                  <c:v>-7.6991502288857685</c:v>
                </c:pt>
                <c:pt idx="404">
                  <c:v>-7.7164322724050525</c:v>
                </c:pt>
                <c:pt idx="405">
                  <c:v>-7.7339196931831236</c:v>
                </c:pt>
                <c:pt idx="406">
                  <c:v>-7.751645615687611</c:v>
                </c:pt>
                <c:pt idx="407">
                  <c:v>-7.7696443893550695</c:v>
                </c:pt>
                <c:pt idx="408">
                  <c:v>-7.7879516461005229</c:v>
                </c:pt>
                <c:pt idx="409">
                  <c:v>-7.8066043627424762</c:v>
                </c:pt>
                <c:pt idx="410">
                  <c:v>-7.8256409284079611</c:v>
                </c:pt>
                <c:pt idx="411">
                  <c:v>-7.8451012169669543</c:v>
                </c:pt>
                <c:pt idx="412">
                  <c:v>-7.8650266645285853</c:v>
                </c:pt>
                <c:pt idx="413">
                  <c:v>-7.8854603520048627</c:v>
                </c:pt>
                <c:pt idx="414">
                  <c:v>-7.9064470927261024</c:v>
                </c:pt>
                <c:pt idx="415">
                  <c:v>-7.9280335250639977</c:v>
                </c:pt>
                <c:pt idx="416">
                  <c:v>-7.9502682099793889</c:v>
                </c:pt>
                <c:pt idx="417">
                  <c:v>-7.9732017333758334</c:v>
                </c:pt>
                <c:pt idx="418">
                  <c:v>-7.9968868130929884</c:v>
                </c:pt>
                <c:pt idx="419">
                  <c:v>-8.0213784103171033</c:v>
                </c:pt>
                <c:pt idx="420">
                  <c:v>-8.0467338451277683</c:v>
                </c:pt>
                <c:pt idx="421">
                  <c:v>-8.0730129158239894</c:v>
                </c:pt>
                <c:pt idx="422">
                  <c:v>-8.1002780215951695</c:v>
                </c:pt>
                <c:pt idx="423">
                  <c:v>-8.1285942880037396</c:v>
                </c:pt>
                <c:pt idx="424">
                  <c:v>-8.1580296946476256</c:v>
                </c:pt>
                <c:pt idx="425">
                  <c:v>-8.1886552042463503</c:v>
                </c:pt>
                <c:pt idx="426">
                  <c:v>-8.2205448922658348</c:v>
                </c:pt>
                <c:pt idx="427">
                  <c:v>-8.253776076051432</c:v>
                </c:pt>
                <c:pt idx="428">
                  <c:v>-8.2884294422754827</c:v>
                </c:pt>
                <c:pt idx="429">
                  <c:v>-8.3245891713332547</c:v>
                </c:pt>
                <c:pt idx="430">
                  <c:v>-8.3623430571314792</c:v>
                </c:pt>
                <c:pt idx="431">
                  <c:v>-8.4017826205095361</c:v>
                </c:pt>
                <c:pt idx="432">
                  <c:v>-8.4430032143220437</c:v>
                </c:pt>
                <c:pt idx="433">
                  <c:v>-8.486104117985235</c:v>
                </c:pt>
                <c:pt idx="434">
                  <c:v>-8.531188619060261</c:v>
                </c:pt>
                <c:pt idx="435">
                  <c:v>-8.5783640792105391</c:v>
                </c:pt>
                <c:pt idx="436">
                  <c:v>-8.6277419816413996</c:v>
                </c:pt>
                <c:pt idx="437">
                  <c:v>-8.6794379569023334</c:v>
                </c:pt>
                <c:pt idx="438">
                  <c:v>-8.7335717837241091</c:v>
                </c:pt>
                <c:pt idx="439">
                  <c:v>-8.7902673613773636</c:v>
                </c:pt>
                <c:pt idx="440">
                  <c:v>-8.8496526498844226</c:v>
                </c:pt>
                <c:pt idx="441">
                  <c:v>-8.9118595743087212</c:v>
                </c:pt>
                <c:pt idx="442">
                  <c:v>-8.9770238892915977</c:v>
                </c:pt>
                <c:pt idx="443">
                  <c:v>-9.0452850000245846</c:v>
                </c:pt>
                <c:pt idx="444">
                  <c:v>-9.116785735943477</c:v>
                </c:pt>
                <c:pt idx="445">
                  <c:v>-9.1916720736287765</c:v>
                </c:pt>
                <c:pt idx="446">
                  <c:v>-9.2700928057026069</c:v>
                </c:pt>
                <c:pt idx="447">
                  <c:v>-9.3521991529463904</c:v>
                </c:pt>
                <c:pt idx="448">
                  <c:v>-9.4381443174256212</c:v>
                </c:pt>
                <c:pt idx="449">
                  <c:v>-9.528082975119883</c:v>
                </c:pt>
                <c:pt idx="450">
                  <c:v>-9.6221707074072178</c:v>
                </c:pt>
                <c:pt idx="451">
                  <c:v>-9.7205633717590469</c:v>
                </c:pt>
                <c:pt idx="452">
                  <c:v>-9.8234164131397641</c:v>
                </c:pt>
                <c:pt idx="453">
                  <c:v>-9.9308841188795842</c:v>
                </c:pt>
                <c:pt idx="454">
                  <c:v>-10.043118821166248</c:v>
                </c:pt>
                <c:pt idx="455">
                  <c:v>-10.160270052760296</c:v>
                </c:pt>
                <c:pt idx="456">
                  <c:v>-10.282483663040701</c:v>
                </c:pt>
                <c:pt idx="457">
                  <c:v>-10.409900902991115</c:v>
                </c:pt>
                <c:pt idx="458">
                  <c:v>-10.542657489187206</c:v>
                </c:pt>
                <c:pt idx="459">
                  <c:v>-10.680882658193831</c:v>
                </c:pt>
                <c:pt idx="460">
                  <c:v>-10.824698223960498</c:v>
                </c:pt>
                <c:pt idx="461">
                  <c:v>-10.974217651760487</c:v>
                </c:pt>
                <c:pt idx="462">
                  <c:v>-11.129545162899468</c:v>
                </c:pt>
                <c:pt idx="463">
                  <c:v>-11.290774884762484</c:v>
                </c:pt>
                <c:pt idx="464">
                  <c:v>-11.457990060741459</c:v>
                </c:pt>
                <c:pt idx="465">
                  <c:v>-11.631262334162709</c:v>
                </c:pt>
                <c:pt idx="466">
                  <c:v>-11.810651119491162</c:v>
                </c:pt>
                <c:pt idx="467">
                  <c:v>-11.996203072837062</c:v>
                </c:pt>
                <c:pt idx="468">
                  <c:v>-12.187951672158032</c:v>
                </c:pt>
                <c:pt idx="469">
                  <c:v>-12.385916915566792</c:v>
                </c:pt>
                <c:pt idx="470">
                  <c:v>-12.590105143886865</c:v>
                </c:pt>
                <c:pt idx="471">
                  <c:v>-12.800508991118839</c:v>
                </c:pt>
                <c:pt idx="472">
                  <c:v>-13.017107463870483</c:v>
                </c:pt>
                <c:pt idx="473">
                  <c:v>-13.239866148158079</c:v>
                </c:pt>
                <c:pt idx="474">
                  <c:v>-13.468737539394105</c:v>
                </c:pt>
                <c:pt idx="475">
                  <c:v>-13.703661488937545</c:v>
                </c:pt>
                <c:pt idx="476">
                  <c:v>-13.944565758364181</c:v>
                </c:pt>
                <c:pt idx="477">
                  <c:v>-14.191366670702044</c:v>
                </c:pt>
                <c:pt idx="478">
                  <c:v>-14.443969846320478</c:v>
                </c:pt>
                <c:pt idx="479">
                  <c:v>-14.702271009988737</c:v>
                </c:pt>
                <c:pt idx="480">
                  <c:v>-14.966156854870764</c:v>
                </c:pt>
                <c:pt idx="481">
                  <c:v>-15.235505948877094</c:v>
                </c:pt>
                <c:pt idx="482">
                  <c:v>-15.510189668850181</c:v>
                </c:pt>
                <c:pt idx="483">
                  <c:v>-15.790073148473247</c:v>
                </c:pt>
                <c:pt idx="484">
                  <c:v>-16.075016226538359</c:v>
                </c:pt>
                <c:pt idx="485">
                  <c:v>-16.364874383211117</c:v>
                </c:pt>
                <c:pt idx="486">
                  <c:v>-16.659499653152576</c:v>
                </c:pt>
                <c:pt idx="487">
                  <c:v>-16.958741505731343</c:v>
                </c:pt>
                <c:pt idx="488">
                  <c:v>-17.262447684024366</c:v>
                </c:pt>
                <c:pt idx="489">
                  <c:v>-17.570464995809555</c:v>
                </c:pt>
                <c:pt idx="490">
                  <c:v>-17.882640051253802</c:v>
                </c:pt>
                <c:pt idx="491">
                  <c:v>-18.198819943439961</c:v>
                </c:pt>
                <c:pt idx="492">
                  <c:v>-18.51885286923569</c:v>
                </c:pt>
                <c:pt idx="493">
                  <c:v>-18.842588689253986</c:v>
                </c:pt>
                <c:pt idx="494">
                  <c:v>-19.169879426768233</c:v>
                </c:pt>
                <c:pt idx="495">
                  <c:v>-19.500579706413482</c:v>
                </c:pt>
                <c:pt idx="496">
                  <c:v>-19.834547134335491</c:v>
                </c:pt>
                <c:pt idx="497">
                  <c:v>-20.171642622118561</c:v>
                </c:pt>
                <c:pt idx="498">
                  <c:v>-20.511730657368943</c:v>
                </c:pt>
                <c:pt idx="499">
                  <c:v>-20.854679524223116</c:v>
                </c:pt>
                <c:pt idx="500">
                  <c:v>-21.20036147734471</c:v>
                </c:pt>
                <c:pt idx="501">
                  <c:v>-21.548652873137627</c:v>
                </c:pt>
                <c:pt idx="502">
                  <c:v>-21.899434261990876</c:v>
                </c:pt>
                <c:pt idx="503">
                  <c:v>-22.252590445367598</c:v>
                </c:pt>
                <c:pt idx="504">
                  <c:v>-22.608010501480468</c:v>
                </c:pt>
                <c:pt idx="505">
                  <c:v>-22.965587783183295</c:v>
                </c:pt>
                <c:pt idx="506">
                  <c:v>-23.325219891536335</c:v>
                </c:pt>
                <c:pt idx="507">
                  <c:v>-23.686808628316935</c:v>
                </c:pt>
                <c:pt idx="508">
                  <c:v>-24.050259930528174</c:v>
                </c:pt>
                <c:pt idx="509">
                  <c:v>-24.415483789729862</c:v>
                </c:pt>
                <c:pt idx="510">
                  <c:v>-24.782394158782644</c:v>
                </c:pt>
                <c:pt idx="511">
                  <c:v>-25.150908848358036</c:v>
                </c:pt>
                <c:pt idx="512">
                  <c:v>-25.520949415337984</c:v>
                </c:pt>
                <c:pt idx="513">
                  <c:v>-25.892441045000428</c:v>
                </c:pt>
                <c:pt idx="514">
                  <c:v>-26.26531242867436</c:v>
                </c:pt>
                <c:pt idx="515">
                  <c:v>-26.639495638346176</c:v>
                </c:pt>
                <c:pt idx="516">
                  <c:v>-27.01492599950836</c:v>
                </c:pt>
                <c:pt idx="517">
                  <c:v>-27.391541963371033</c:v>
                </c:pt>
                <c:pt idx="518">
                  <c:v>-27.769284979390939</c:v>
                </c:pt>
                <c:pt idx="519">
                  <c:v>-28.148099368932847</c:v>
                </c:pt>
                <c:pt idx="520">
                  <c:v>-28.527932200743113</c:v>
                </c:pt>
                <c:pt idx="521">
                  <c:v>-28.90873316879826</c:v>
                </c:pt>
                <c:pt idx="522">
                  <c:v>-29.290454472987232</c:v>
                </c:pt>
                <c:pt idx="523">
                  <c:v>-29.673050702991262</c:v>
                </c:pt>
                <c:pt idx="524">
                  <c:v>-30.056478725647068</c:v>
                </c:pt>
                <c:pt idx="525">
                  <c:v>-30.440697576002741</c:v>
                </c:pt>
                <c:pt idx="526">
                  <c:v>-30.825668352218795</c:v>
                </c:pt>
                <c:pt idx="527">
                  <c:v>-31.211354114411286</c:v>
                </c:pt>
                <c:pt idx="528">
                  <c:v>-31.597719787487431</c:v>
                </c:pt>
                <c:pt idx="529">
                  <c:v>-31.984732067990723</c:v>
                </c:pt>
                <c:pt idx="530">
                  <c:v>-32.372359334930664</c:v>
                </c:pt>
                <c:pt idx="531">
                  <c:v>-32.760571564558298</c:v>
                </c:pt>
                <c:pt idx="532">
                  <c:v>-33.149340249012567</c:v>
                </c:pt>
                <c:pt idx="533">
                  <c:v>-33.538638318759936</c:v>
                </c:pt>
                <c:pt idx="534">
                  <c:v>-33.928440068720512</c:v>
                </c:pt>
                <c:pt idx="535">
                  <c:v>-34.318721087974652</c:v>
                </c:pt>
                <c:pt idx="536">
                  <c:v>-34.709458192929297</c:v>
                </c:pt>
                <c:pt idx="537">
                  <c:v>-35.100629363822534</c:v>
                </c:pt>
                <c:pt idx="538">
                  <c:v>-35.492213684434603</c:v>
                </c:pt>
                <c:pt idx="539">
                  <c:v>-35.884191284878725</c:v>
                </c:pt>
                <c:pt idx="540">
                  <c:v>-36.276543287337994</c:v>
                </c:pt>
                <c:pt idx="541">
                  <c:v>-36.669251754621477</c:v>
                </c:pt>
              </c:numCache>
            </c:numRef>
          </c:yVal>
          <c:smooth val="1"/>
          <c:extLst>
            <c:ext xmlns:c16="http://schemas.microsoft.com/office/drawing/2014/chart" uri="{C3380CC4-5D6E-409C-BE32-E72D297353CC}">
              <c16:uniqueId val="{00000000-ECAC-4E20-B866-0DB1B3DE6FE8}"/>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ECAC-4E20-B866-0DB1B3DE6FE8}"/>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CAC-4E20-B866-0DB1B3DE6FE8}"/>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19.966120428053593</c:v>
                </c:pt>
              </c:numCache>
            </c:numRef>
          </c:xVal>
          <c:yVal>
            <c:numRef>
              <c:f>Loop_Modeling!$BL$11</c:f>
              <c:numCache>
                <c:formatCode>General</c:formatCode>
                <c:ptCount val="1"/>
                <c:pt idx="0">
                  <c:v>70.565256452017678</c:v>
                </c:pt>
              </c:numCache>
            </c:numRef>
          </c:yVal>
          <c:smooth val="0"/>
          <c:extLst>
            <c:ext xmlns:c16="http://schemas.microsoft.com/office/drawing/2014/chart" uri="{C3380CC4-5D6E-409C-BE32-E72D297353CC}">
              <c16:uniqueId val="{00000002-ECAC-4E20-B866-0DB1B3DE6FE8}"/>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39995.323186125308</c:v>
                </c:pt>
              </c:numCache>
            </c:numRef>
          </c:xVal>
          <c:yVal>
            <c:numRef>
              <c:f>Loop_Modeling!$BL$9</c:f>
              <c:numCache>
                <c:formatCode>General</c:formatCode>
                <c:ptCount val="1"/>
                <c:pt idx="0">
                  <c:v>-6.8173948083487579</c:v>
                </c:pt>
              </c:numCache>
            </c:numRef>
          </c:yVal>
          <c:smooth val="1"/>
          <c:extLst>
            <c:ext xmlns:c16="http://schemas.microsoft.com/office/drawing/2014/chart" uri="{C3380CC4-5D6E-409C-BE32-E72D297353CC}">
              <c16:uniqueId val="{00000004-ECAC-4E20-B866-0DB1B3DE6FE8}"/>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ECAC-4E20-B866-0DB1B3DE6FE8}"/>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ECAC-4E20-B866-0DB1B3DE6FE8}"/>
                </c:ext>
              </c:extLst>
            </c:dLbl>
            <c:spPr>
              <a:noFill/>
              <a:ln>
                <a:noFill/>
              </a:ln>
              <a:effectLst/>
            </c:spPr>
            <c:txPr>
              <a:bodyPr/>
              <a:lstStyle/>
              <a:p>
                <a:pPr>
                  <a:defRPr b="1"/>
                </a:pPr>
                <a:endParaRPr lang="en-DE"/>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7957.7471545947656</c:v>
                </c:pt>
              </c:numCache>
            </c:numRef>
          </c:xVal>
          <c:yVal>
            <c:numRef>
              <c:f>Loop_Modeling!$BL$10</c:f>
              <c:numCache>
                <c:formatCode>General</c:formatCode>
                <c:ptCount val="1"/>
                <c:pt idx="0">
                  <c:v>-3.1485943097024958</c:v>
                </c:pt>
              </c:numCache>
            </c:numRef>
          </c:yVal>
          <c:smooth val="1"/>
          <c:extLst>
            <c:ext xmlns:c16="http://schemas.microsoft.com/office/drawing/2014/chart" uri="{C3380CC4-5D6E-409C-BE32-E72D297353CC}">
              <c16:uniqueId val="{00000006-ECAC-4E20-B866-0DB1B3DE6FE8}"/>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DE"/>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ECAC-4E20-B866-0DB1B3DE6FE8}"/>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482.28770633907675</c:v>
                </c:pt>
              </c:numCache>
            </c:numRef>
          </c:xVal>
          <c:yVal>
            <c:numRef>
              <c:f>Loop_Modeling!$BL$12</c:f>
              <c:numCache>
                <c:formatCode>General</c:formatCode>
                <c:ptCount val="1"/>
                <c:pt idx="0">
                  <c:v>21.266098776773322</c:v>
                </c:pt>
              </c:numCache>
            </c:numRef>
          </c:yVal>
          <c:smooth val="1"/>
          <c:extLst>
            <c:ext xmlns:c16="http://schemas.microsoft.com/office/drawing/2014/chart" uri="{C3380CC4-5D6E-409C-BE32-E72D297353CC}">
              <c16:uniqueId val="{00000008-ECAC-4E20-B866-0DB1B3DE6FE8}"/>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ECAC-4E20-B866-0DB1B3DE6FE8}"/>
                </c:ext>
              </c:extLst>
            </c:dLbl>
            <c:spPr>
              <a:noFill/>
              <a:ln>
                <a:noFill/>
              </a:ln>
              <a:effectLst/>
            </c:spPr>
            <c:txPr>
              <a:bodyPr/>
              <a:lstStyle/>
              <a:p>
                <a:pPr>
                  <a:defRPr b="1"/>
                </a:pPr>
                <a:endParaRPr lang="en-DE"/>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33365.540411276132</c:v>
                </c:pt>
              </c:numCache>
            </c:numRef>
          </c:xVal>
          <c:yVal>
            <c:numRef>
              <c:f>Loop_Modeling!$BL$13</c:f>
              <c:numCache>
                <c:formatCode>General</c:formatCode>
                <c:ptCount val="1"/>
                <c:pt idx="0">
                  <c:v>-6.595502979428125</c:v>
                </c:pt>
              </c:numCache>
            </c:numRef>
          </c:yVal>
          <c:smooth val="1"/>
          <c:extLst>
            <c:ext xmlns:c16="http://schemas.microsoft.com/office/drawing/2014/chart" uri="{C3380CC4-5D6E-409C-BE32-E72D297353CC}">
              <c16:uniqueId val="{0000000A-ECAC-4E20-B866-0DB1B3DE6FE8}"/>
            </c:ext>
          </c:extLst>
        </c:ser>
        <c:dLbls>
          <c:showLegendKey val="0"/>
          <c:showVal val="0"/>
          <c:showCatName val="0"/>
          <c:showSerName val="0"/>
          <c:showPercent val="0"/>
          <c:showBubbleSize val="0"/>
        </c:dLbls>
        <c:axId val="357835904"/>
        <c:axId val="36447705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64.119115262287494</c:v>
                </c:pt>
                <c:pt idx="1">
                  <c:v>63.609259140297851</c:v>
                </c:pt>
                <c:pt idx="2">
                  <c:v>63.092979852811091</c:v>
                </c:pt>
                <c:pt idx="3">
                  <c:v>62.570400709467499</c:v>
                </c:pt>
                <c:pt idx="4">
                  <c:v>62.041657125728811</c:v>
                </c:pt>
                <c:pt idx="5">
                  <c:v>61.506896816365227</c:v>
                </c:pt>
                <c:pt idx="6">
                  <c:v>60.966279952171796</c:v>
                </c:pt>
                <c:pt idx="7">
                  <c:v>60.419979276874372</c:v>
                </c:pt>
                <c:pt idx="8">
                  <c:v>59.868180181304204</c:v>
                </c:pt>
                <c:pt idx="9">
                  <c:v>59.311080732083177</c:v>
                </c:pt>
                <c:pt idx="10">
                  <c:v>58.748891652267062</c:v>
                </c:pt>
                <c:pt idx="11">
                  <c:v>58.181836251641265</c:v>
                </c:pt>
                <c:pt idx="12">
                  <c:v>57.6101503046551</c:v>
                </c:pt>
                <c:pt idx="13">
                  <c:v>57.034081874311582</c:v>
                </c:pt>
                <c:pt idx="14">
                  <c:v>56.453891080712339</c:v>
                </c:pt>
                <c:pt idx="15">
                  <c:v>55.869849813355366</c:v>
                </c:pt>
                <c:pt idx="16">
                  <c:v>55.282241386743287</c:v>
                </c:pt>
                <c:pt idx="17">
                  <c:v>54.69136013932804</c:v>
                </c:pt>
                <c:pt idx="18">
                  <c:v>54.097510976317757</c:v>
                </c:pt>
                <c:pt idx="19">
                  <c:v>53.501008857394567</c:v>
                </c:pt>
                <c:pt idx="20">
                  <c:v>52.902178230918146</c:v>
                </c:pt>
                <c:pt idx="21">
                  <c:v>52.301352416725507</c:v>
                </c:pt>
                <c:pt idx="22">
                  <c:v>51.698872940164222</c:v>
                </c:pt>
                <c:pt idx="23">
                  <c:v>51.095088820515379</c:v>
                </c:pt>
                <c:pt idx="24">
                  <c:v>50.490355817461264</c:v>
                </c:pt>
                <c:pt idx="25">
                  <c:v>49.885035639707517</c:v>
                </c:pt>
                <c:pt idx="26">
                  <c:v>49.279495120318188</c:v>
                </c:pt>
                <c:pt idx="27">
                  <c:v>48.674105363686948</c:v>
                </c:pt>
                <c:pt idx="28">
                  <c:v>48.069240869411196</c:v>
                </c:pt>
                <c:pt idx="29">
                  <c:v>47.465278638607138</c:v>
                </c:pt>
                <c:pt idx="30">
                  <c:v>46.862597268414895</c:v>
                </c:pt>
                <c:pt idx="31">
                  <c:v>46.261576040580543</c:v>
                </c:pt>
                <c:pt idx="32">
                  <c:v>45.662594010090764</c:v>
                </c:pt>
                <c:pt idx="33">
                  <c:v>45.066029099807956</c:v>
                </c:pt>
                <c:pt idx="34">
                  <c:v>44.472257207024732</c:v>
                </c:pt>
                <c:pt idx="35">
                  <c:v>43.881651327676515</c:v>
                </c:pt>
                <c:pt idx="36">
                  <c:v>43.294580703767735</c:v>
                </c:pt>
                <c:pt idx="37">
                  <c:v>42.711409999290943</c:v>
                </c:pt>
                <c:pt idx="38">
                  <c:v>42.132498509581076</c:v>
                </c:pt>
                <c:pt idx="39">
                  <c:v>41.558199408673602</c:v>
                </c:pt>
                <c:pt idx="40">
                  <c:v>40.988859038803938</c:v>
                </c:pt>
                <c:pt idx="41">
                  <c:v>40.42481624571419</c:v>
                </c:pt>
                <c:pt idx="42">
                  <c:v>39.866401762953544</c:v>
                </c:pt>
                <c:pt idx="43">
                  <c:v>39.313937647818165</c:v>
                </c:pt>
                <c:pt idx="44">
                  <c:v>38.767736771070872</c:v>
                </c:pt>
                <c:pt idx="45">
                  <c:v>38.228102362025759</c:v>
                </c:pt>
                <c:pt idx="46">
                  <c:v>37.695327610067338</c:v>
                </c:pt>
                <c:pt idx="47">
                  <c:v>37.16969532313788</c:v>
                </c:pt>
                <c:pt idx="48">
                  <c:v>36.651477643238415</c:v>
                </c:pt>
                <c:pt idx="49">
                  <c:v>36.140935818499422</c:v>
                </c:pt>
                <c:pt idx="50">
                  <c:v>35.638320030928995</c:v>
                </c:pt>
                <c:pt idx="51">
                  <c:v>35.14386927853549</c:v>
                </c:pt>
                <c:pt idx="52">
                  <c:v>34.657811310138435</c:v>
                </c:pt>
                <c:pt idx="53">
                  <c:v>34.180362610842487</c:v>
                </c:pt>
                <c:pt idx="54">
                  <c:v>33.71172843585785</c:v>
                </c:pt>
                <c:pt idx="55">
                  <c:v>33.252102890095955</c:v>
                </c:pt>
                <c:pt idx="56">
                  <c:v>32.801669050754263</c:v>
                </c:pt>
                <c:pt idx="57">
                  <c:v>32.360599129946472</c:v>
                </c:pt>
                <c:pt idx="58">
                  <c:v>31.92905467429927</c:v>
                </c:pt>
                <c:pt idx="59">
                  <c:v>31.507186798359026</c:v>
                </c:pt>
                <c:pt idx="60">
                  <c:v>31.095136448593845</c:v>
                </c:pt>
                <c:pt idx="61">
                  <c:v>30.693034694776074</c:v>
                </c:pt>
                <c:pt idx="62">
                  <c:v>30.301003045531587</c:v>
                </c:pt>
                <c:pt idx="63">
                  <c:v>29.919153784902271</c:v>
                </c:pt>
                <c:pt idx="64">
                  <c:v>29.547590326834314</c:v>
                </c:pt>
                <c:pt idx="65">
                  <c:v>29.186407584597731</c:v>
                </c:pt>
                <c:pt idx="66">
                  <c:v>28.835692352256736</c:v>
                </c:pt>
                <c:pt idx="67">
                  <c:v>28.495523695438386</c:v>
                </c:pt>
                <c:pt idx="68">
                  <c:v>28.165973348785649</c:v>
                </c:pt>
                <c:pt idx="69">
                  <c:v>27.847106117632435</c:v>
                </c:pt>
                <c:pt idx="70">
                  <c:v>27.538980281590071</c:v>
                </c:pt>
                <c:pt idx="71">
                  <c:v>27.241647997898909</c:v>
                </c:pt>
                <c:pt idx="72">
                  <c:v>26.955155702559331</c:v>
                </c:pt>
                <c:pt idx="73">
                  <c:v>26.679544507412366</c:v>
                </c:pt>
                <c:pt idx="74">
                  <c:v>26.414850591506358</c:v>
                </c:pt>
                <c:pt idx="75">
                  <c:v>26.161105585237667</c:v>
                </c:pt>
                <c:pt idx="76">
                  <c:v>25.918336945901277</c:v>
                </c:pt>
                <c:pt idx="77">
                  <c:v>25.686568323434042</c:v>
                </c:pt>
                <c:pt idx="78">
                  <c:v>25.465819915269414</c:v>
                </c:pt>
                <c:pt idx="79">
                  <c:v>25.25610880934801</c:v>
                </c:pt>
                <c:pt idx="80">
                  <c:v>25.057449314454441</c:v>
                </c:pt>
                <c:pt idx="81">
                  <c:v>24.86985327715422</c:v>
                </c:pt>
                <c:pt idx="82">
                  <c:v>24.693330384718081</c:v>
                </c:pt>
                <c:pt idx="83">
                  <c:v>24.527888453502797</c:v>
                </c:pt>
                <c:pt idx="84">
                  <c:v>24.373533702352173</c:v>
                </c:pt>
                <c:pt idx="85">
                  <c:v>24.230271010654082</c:v>
                </c:pt>
                <c:pt idx="86">
                  <c:v>24.098104160755231</c:v>
                </c:pt>
                <c:pt idx="87">
                  <c:v>23.977036064499998</c:v>
                </c:pt>
                <c:pt idx="88">
                  <c:v>23.867068973705376</c:v>
                </c:pt>
                <c:pt idx="89">
                  <c:v>23.768204674433431</c:v>
                </c:pt>
                <c:pt idx="90">
                  <c:v>23.680444664958117</c:v>
                </c:pt>
                <c:pt idx="91">
                  <c:v>23.603790317353074</c:v>
                </c:pt>
                <c:pt idx="92">
                  <c:v>23.538243022652864</c:v>
                </c:pt>
                <c:pt idx="93">
                  <c:v>23.483804319564598</c:v>
                </c:pt>
                <c:pt idx="94">
                  <c:v>23.440476006710455</c:v>
                </c:pt>
                <c:pt idx="95">
                  <c:v>23.408260238406374</c:v>
                </c:pt>
                <c:pt idx="96">
                  <c:v>23.387159603977633</c:v>
                </c:pt>
                <c:pt idx="97">
                  <c:v>23.377177190621595</c:v>
                </c:pt>
                <c:pt idx="98">
                  <c:v>23.378316629829225</c:v>
                </c:pt>
                <c:pt idx="99">
                  <c:v>23.390582127370347</c:v>
                </c:pt>
                <c:pt idx="100">
                  <c:v>23.413978476855835</c:v>
                </c:pt>
                <c:pt idx="101">
                  <c:v>23.448511056873865</c:v>
                </c:pt>
                <c:pt idx="102">
                  <c:v>23.49418581170422</c:v>
                </c:pt>
                <c:pt idx="103">
                  <c:v>23.551009215605866</c:v>
                </c:pt>
                <c:pt idx="104">
                  <c:v>23.618988220670794</c:v>
                </c:pt>
                <c:pt idx="105">
                  <c:v>23.698130188236085</c:v>
                </c:pt>
                <c:pt idx="106">
                  <c:v>23.788442803849104</c:v>
                </c:pt>
                <c:pt idx="107">
                  <c:v>23.889933975776568</c:v>
                </c:pt>
                <c:pt idx="108">
                  <c:v>24.002611717062752</c:v>
                </c:pt>
                <c:pt idx="109">
                  <c:v>24.126484011143909</c:v>
                </c:pt>
                <c:pt idx="110">
                  <c:v>24.261558661044255</c:v>
                </c:pt>
                <c:pt idx="111">
                  <c:v>24.40784312219408</c:v>
                </c:pt>
                <c:pt idx="112">
                  <c:v>24.565344318934475</c:v>
                </c:pt>
                <c:pt idx="113">
                  <c:v>24.734068444801121</c:v>
                </c:pt>
                <c:pt idx="114">
                  <c:v>24.914020746717942</c:v>
                </c:pt>
                <c:pt idx="115">
                  <c:v>25.105205293268629</c:v>
                </c:pt>
                <c:pt idx="116">
                  <c:v>25.307624727264283</c:v>
                </c:pt>
                <c:pt idx="117">
                  <c:v>25.521280002887092</c:v>
                </c:pt>
                <c:pt idx="118">
                  <c:v>25.746170107745151</c:v>
                </c:pt>
                <c:pt idx="119">
                  <c:v>25.982291770256129</c:v>
                </c:pt>
                <c:pt idx="120">
                  <c:v>26.229639152851917</c:v>
                </c:pt>
                <c:pt idx="121">
                  <c:v>26.488203531592863</c:v>
                </c:pt>
                <c:pt idx="122">
                  <c:v>26.75797296287406</c:v>
                </c:pt>
                <c:pt idx="123">
                  <c:v>27.038931938018713</c:v>
                </c:pt>
                <c:pt idx="124">
                  <c:v>27.331061026669083</c:v>
                </c:pt>
                <c:pt idx="125">
                  <c:v>27.634336510010804</c:v>
                </c:pt>
                <c:pt idx="126">
                  <c:v>27.948730005002474</c:v>
                </c:pt>
                <c:pt idx="127">
                  <c:v>28.274208080918346</c:v>
                </c:pt>
                <c:pt idx="128">
                  <c:v>28.610731869665052</c:v>
                </c:pt>
                <c:pt idx="129">
                  <c:v>28.958256671486271</c:v>
                </c:pt>
                <c:pt idx="130">
                  <c:v>29.316731557819981</c:v>
                </c:pt>
                <c:pt idx="131">
                  <c:v>29.686098973242004</c:v>
                </c:pt>
                <c:pt idx="132">
                  <c:v>30.066294338586509</c:v>
                </c:pt>
                <c:pt idx="133">
                  <c:v>30.457245657495235</c:v>
                </c:pt>
                <c:pt idx="134">
                  <c:v>30.858873128802557</c:v>
                </c:pt>
                <c:pt idx="135">
                  <c:v>31.271088767321789</c:v>
                </c:pt>
                <c:pt idx="136">
                  <c:v>31.693796035733065</c:v>
                </c:pt>
                <c:pt idx="137">
                  <c:v>32.126889490413532</c:v>
                </c:pt>
                <c:pt idx="138">
                  <c:v>32.570254444159801</c:v>
                </c:pt>
                <c:pt idx="139">
                  <c:v>33.023766648865625</c:v>
                </c:pt>
                <c:pt idx="140">
                  <c:v>33.487292001282896</c:v>
                </c:pt>
                <c:pt idx="141">
                  <c:v>33.96068627506331</c:v>
                </c:pt>
                <c:pt idx="142">
                  <c:v>34.443794882296103</c:v>
                </c:pt>
                <c:pt idx="143">
                  <c:v>34.936452667761529</c:v>
                </c:pt>
                <c:pt idx="144">
                  <c:v>35.438483739081441</c:v>
                </c:pt>
                <c:pt idx="145">
                  <c:v>35.949701335872994</c:v>
                </c:pt>
                <c:pt idx="146">
                  <c:v>36.469907740908667</c:v>
                </c:pt>
                <c:pt idx="147">
                  <c:v>36.998894236120435</c:v>
                </c:pt>
                <c:pt idx="148">
                  <c:v>37.536441106103211</c:v>
                </c:pt>
                <c:pt idx="149">
                  <c:v>38.082317691531557</c:v>
                </c:pt>
                <c:pt idx="150">
                  <c:v>38.636282494614321</c:v>
                </c:pt>
                <c:pt idx="151">
                  <c:v>39.198083338406313</c:v>
                </c:pt>
                <c:pt idx="152">
                  <c:v>39.767457581407086</c:v>
                </c:pt>
                <c:pt idx="153">
                  <c:v>40.344132388501748</c:v>
                </c:pt>
                <c:pt idx="154">
                  <c:v>40.927825058831672</c:v>
                </c:pt>
                <c:pt idx="155">
                  <c:v>41.51824341073722</c:v>
                </c:pt>
                <c:pt idx="156">
                  <c:v>42.115086223403338</c:v>
                </c:pt>
                <c:pt idx="157">
                  <c:v>42.718043734330003</c:v>
                </c:pt>
                <c:pt idx="158">
                  <c:v>43.326798191218018</c:v>
                </c:pt>
                <c:pt idx="159">
                  <c:v>43.941024456325778</c:v>
                </c:pt>
                <c:pt idx="160">
                  <c:v>44.560390660822257</c:v>
                </c:pt>
                <c:pt idx="161">
                  <c:v>45.184558906127847</c:v>
                </c:pt>
                <c:pt idx="162">
                  <c:v>45.813186008745127</c:v>
                </c:pt>
                <c:pt idx="163">
                  <c:v>46.445924284587193</c:v>
                </c:pt>
                <c:pt idx="164">
                  <c:v>47.082422368379106</c:v>
                </c:pt>
                <c:pt idx="165">
                  <c:v>47.722326063303179</c:v>
                </c:pt>
                <c:pt idx="166">
                  <c:v>48.365279215705733</c:v>
                </c:pt>
                <c:pt idx="167">
                  <c:v>49.01092460939222</c:v>
                </c:pt>
                <c:pt idx="168">
                  <c:v>49.658904873805838</c:v>
                </c:pt>
                <c:pt idx="169">
                  <c:v>50.308863400213561</c:v>
                </c:pt>
                <c:pt idx="170">
                  <c:v>50.960445259929841</c:v>
                </c:pt>
                <c:pt idx="171">
                  <c:v>51.613298118583572</c:v>
                </c:pt>
                <c:pt idx="172">
                  <c:v>52.26707314047713</c:v>
                </c:pt>
                <c:pt idx="173">
                  <c:v>52.921425877203276</c:v>
                </c:pt>
                <c:pt idx="174">
                  <c:v>53.576017134867577</c:v>
                </c:pt>
                <c:pt idx="175">
                  <c:v>54.230513814524336</c:v>
                </c:pt>
                <c:pt idx="176">
                  <c:v>54.884589720726197</c:v>
                </c:pt>
                <c:pt idx="177">
                  <c:v>55.537926333467553</c:v>
                </c:pt>
                <c:pt idx="178">
                  <c:v>56.190213539203583</c:v>
                </c:pt>
                <c:pt idx="179">
                  <c:v>56.841150317078473</c:v>
                </c:pt>
                <c:pt idx="180">
                  <c:v>57.490445376988312</c:v>
                </c:pt>
                <c:pt idx="181">
                  <c:v>58.137817746598273</c:v>
                </c:pt>
                <c:pt idx="182">
                  <c:v>58.782997304964283</c:v>
                </c:pt>
                <c:pt idx="183">
                  <c:v>59.425725260941064</c:v>
                </c:pt>
                <c:pt idx="184">
                  <c:v>60.065754575076689</c:v>
                </c:pt>
                <c:pt idx="185">
                  <c:v>60.702850324222247</c:v>
                </c:pt>
                <c:pt idx="186">
                  <c:v>61.336790008585758</c:v>
                </c:pt>
                <c:pt idx="187">
                  <c:v>61.967363801438417</c:v>
                </c:pt>
                <c:pt idx="188">
                  <c:v>62.594374742133482</c:v>
                </c:pt>
                <c:pt idx="189">
                  <c:v>63.217638873525196</c:v>
                </c:pt>
                <c:pt idx="190">
                  <c:v>63.836985325243866</c:v>
                </c:pt>
                <c:pt idx="191">
                  <c:v>64.452256344642265</c:v>
                </c:pt>
                <c:pt idx="192">
                  <c:v>65.063307277516429</c:v>
                </c:pt>
                <c:pt idx="193">
                  <c:v>65.670006500965798</c:v>
                </c:pt>
                <c:pt idx="194">
                  <c:v>66.272235310975205</c:v>
                </c:pt>
                <c:pt idx="195">
                  <c:v>66.869887767464476</c:v>
                </c:pt>
                <c:pt idx="196">
                  <c:v>67.462870499684627</c:v>
                </c:pt>
                <c:pt idx="197">
                  <c:v>68.051102474922999</c:v>
                </c:pt>
                <c:pt idx="198">
                  <c:v>68.634514733532967</c:v>
                </c:pt>
                <c:pt idx="199">
                  <c:v>69.213050093310045</c:v>
                </c:pt>
                <c:pt idx="200">
                  <c:v>69.786662826220748</c:v>
                </c:pt>
                <c:pt idx="201">
                  <c:v>70.355318310437497</c:v>
                </c:pt>
                <c:pt idx="202">
                  <c:v>70.918992660553755</c:v>
                </c:pt>
                <c:pt idx="203">
                  <c:v>71.47767233875534</c:v>
                </c:pt>
                <c:pt idx="204">
                  <c:v>72.031353749599461</c:v>
                </c:pt>
                <c:pt idx="205">
                  <c:v>72.580042820915949</c:v>
                </c:pt>
                <c:pt idx="206">
                  <c:v>73.123754573194532</c:v>
                </c:pt>
                <c:pt idx="207">
                  <c:v>73.662512679654228</c:v>
                </c:pt>
                <c:pt idx="208">
                  <c:v>74.196349019028219</c:v>
                </c:pt>
                <c:pt idx="209">
                  <c:v>74.725303222911464</c:v>
                </c:pt>
                <c:pt idx="210">
                  <c:v>75.249422219351686</c:v>
                </c:pt>
                <c:pt idx="211">
                  <c:v>75.768759774174413</c:v>
                </c:pt>
                <c:pt idx="212">
                  <c:v>76.28337603136103</c:v>
                </c:pt>
                <c:pt idx="213">
                  <c:v>76.793337053622992</c:v>
                </c:pt>
                <c:pt idx="214">
                  <c:v>77.298714364145937</c:v>
                </c:pt>
                <c:pt idx="215">
                  <c:v>77.799584490309357</c:v>
                </c:pt>
                <c:pt idx="216">
                  <c:v>78.296028510037701</c:v>
                </c:pt>
                <c:pt idx="217">
                  <c:v>78.78813160128179</c:v>
                </c:pt>
                <c:pt idx="218">
                  <c:v>79.275982594992712</c:v>
                </c:pt>
                <c:pt idx="219">
                  <c:v>79.759673531820582</c:v>
                </c:pt>
                <c:pt idx="220">
                  <c:v>80.239299222641478</c:v>
                </c:pt>
                <c:pt idx="221">
                  <c:v>80.714956812913826</c:v>
                </c:pt>
                <c:pt idx="222">
                  <c:v>81.186745350751465</c:v>
                </c:pt>
                <c:pt idx="223">
                  <c:v>81.654765358520123</c:v>
                </c:pt>
                <c:pt idx="224">
                  <c:v>82.119118407675856</c:v>
                </c:pt>
                <c:pt idx="225">
                  <c:v>82.579906696491776</c:v>
                </c:pt>
                <c:pt idx="226">
                  <c:v>83.037232630265478</c:v>
                </c:pt>
                <c:pt idx="227">
                  <c:v>83.491198403540125</c:v>
                </c:pt>
                <c:pt idx="228">
                  <c:v>83.941905583837254</c:v>
                </c:pt>
                <c:pt idx="229">
                  <c:v>84.38945469637099</c:v>
                </c:pt>
                <c:pt idx="230">
                  <c:v>84.833944809184658</c:v>
                </c:pt>
                <c:pt idx="231">
                  <c:v>85.275473118152007</c:v>
                </c:pt>
                <c:pt idx="232">
                  <c:v>85.714134531274723</c:v>
                </c:pt>
                <c:pt idx="233">
                  <c:v>86.150021251729569</c:v>
                </c:pt>
                <c:pt idx="234">
                  <c:v>86.583222359129394</c:v>
                </c:pt>
                <c:pt idx="235">
                  <c:v>87.013823388494743</c:v>
                </c:pt>
                <c:pt idx="236">
                  <c:v>87.4419059064832</c:v>
                </c:pt>
                <c:pt idx="237">
                  <c:v>87.867547084460128</c:v>
                </c:pt>
                <c:pt idx="238">
                  <c:v>88.290819268069271</c:v>
                </c:pt>
                <c:pt idx="239">
                  <c:v>88.711789543024295</c:v>
                </c:pt>
                <c:pt idx="240">
                  <c:v>89.130519296933073</c:v>
                </c:pt>
                <c:pt idx="241">
                  <c:v>89.547063777053836</c:v>
                </c:pt>
                <c:pt idx="242">
                  <c:v>89.961471643988261</c:v>
                </c:pt>
                <c:pt idx="243">
                  <c:v>90.373784521429982</c:v>
                </c:pt>
                <c:pt idx="244">
                  <c:v>90.784036542214182</c:v>
                </c:pt>
                <c:pt idx="245">
                  <c:v>91.192253891041858</c:v>
                </c:pt>
                <c:pt idx="246">
                  <c:v>91.598454344403152</c:v>
                </c:pt>
                <c:pt idx="247">
                  <c:v>92.002646808372617</c:v>
                </c:pt>
                <c:pt idx="248">
                  <c:v>92.404830855111712</c:v>
                </c:pt>
                <c:pt idx="249">
                  <c:v>92.804996259084575</c:v>
                </c:pt>
                <c:pt idx="250">
                  <c:v>93.203122534166383</c:v>
                </c:pt>
                <c:pt idx="251">
                  <c:v>93.599178473007882</c:v>
                </c:pt>
                <c:pt idx="252">
                  <c:v>93.993121690202599</c:v>
                </c:pt>
                <c:pt idx="253">
                  <c:v>94.384898170994688</c:v>
                </c:pt>
                <c:pt idx="254">
                  <c:v>94.774441827449465</c:v>
                </c:pt>
                <c:pt idx="255">
                  <c:v>95.161674064204419</c:v>
                </c:pt>
                <c:pt idx="256">
                  <c:v>95.54650335609125</c:v>
                </c:pt>
                <c:pt idx="257">
                  <c:v>95.928824840109598</c:v>
                </c:pt>
                <c:pt idx="258">
                  <c:v>96.308519924391973</c:v>
                </c:pt>
                <c:pt idx="259">
                  <c:v>96.685455916963306</c:v>
                </c:pt>
                <c:pt idx="260">
                  <c:v>97.059485677236651</c:v>
                </c:pt>
                <c:pt idx="261">
                  <c:v>97.430447293311644</c:v>
                </c:pt>
                <c:pt idx="262">
                  <c:v>97.798163788246228</c:v>
                </c:pt>
                <c:pt idx="263">
                  <c:v>98.162442858547877</c:v>
                </c:pt>
                <c:pt idx="264">
                  <c:v>98.523076648178431</c:v>
                </c:pt>
                <c:pt idx="265">
                  <c:v>98.879841561390236</c:v>
                </c:pt>
                <c:pt idx="266">
                  <c:v>99.23249811768811</c:v>
                </c:pt>
                <c:pt idx="267">
                  <c:v>99.580790852164995</c:v>
                </c:pt>
                <c:pt idx="268">
                  <c:v>99.924448264358787</c:v>
                </c:pt>
                <c:pt idx="269">
                  <c:v>100.2631828186545</c:v>
                </c:pt>
                <c:pt idx="270">
                  <c:v>100.59669099906711</c:v>
                </c:pt>
                <c:pt idx="271">
                  <c:v>100.92465342103608</c:v>
                </c:pt>
                <c:pt idx="272">
                  <c:v>101.24673500258089</c:v>
                </c:pt>
                <c:pt idx="273">
                  <c:v>101.56258519688419</c:v>
                </c:pt>
                <c:pt idx="274">
                  <c:v>101.87183828800268</c:v>
                </c:pt>
                <c:pt idx="275">
                  <c:v>102.17411375104169</c:v>
                </c:pt>
                <c:pt idx="276">
                  <c:v>102.46901667769231</c:v>
                </c:pt>
                <c:pt idx="277">
                  <c:v>102.75613826760022</c:v>
                </c:pt>
                <c:pt idx="278">
                  <c:v>103.03505638554839</c:v>
                </c:pt>
                <c:pt idx="279">
                  <c:v>103.30533618395096</c:v>
                </c:pt>
                <c:pt idx="280">
                  <c:v>103.56653078964671</c:v>
                </c:pt>
                <c:pt idx="281">
                  <c:v>103.81818205347652</c:v>
                </c:pt>
                <c:pt idx="282">
                  <c:v>104.05982136061502</c:v>
                </c:pt>
                <c:pt idx="283">
                  <c:v>104.29097049913625</c:v>
                </c:pt>
                <c:pt idx="284">
                  <c:v>104.51114258381024</c:v>
                </c:pt>
                <c:pt idx="285">
                  <c:v>104.7198430316853</c:v>
                </c:pt>
                <c:pt idx="286">
                  <c:v>104.91657058558232</c:v>
                </c:pt>
                <c:pt idx="287">
                  <c:v>105.10081838126679</c:v>
                </c:pt>
                <c:pt idx="288">
                  <c:v>105.2720750537259</c:v>
                </c:pt>
                <c:pt idx="289">
                  <c:v>105.42982587771887</c:v>
                </c:pt>
                <c:pt idx="290">
                  <c:v>105.57355393754553</c:v>
                </c:pt>
                <c:pt idx="291">
                  <c:v>105.70274132083503</c:v>
                </c:pt>
                <c:pt idx="292">
                  <c:v>105.816870331071</c:v>
                </c:pt>
                <c:pt idx="293">
                  <c:v>105.91542471354499</c:v>
                </c:pt>
                <c:pt idx="294">
                  <c:v>105.99789088948123</c:v>
                </c:pt>
                <c:pt idx="295">
                  <c:v>106.06375919317766</c:v>
                </c:pt>
                <c:pt idx="296">
                  <c:v>106.1125251071871</c:v>
                </c:pt>
                <c:pt idx="297">
                  <c:v>106.14369049077155</c:v>
                </c:pt>
                <c:pt idx="298">
                  <c:v>106.15676479714303</c:v>
                </c:pt>
                <c:pt idx="299">
                  <c:v>106.15126627532501</c:v>
                </c:pt>
                <c:pt idx="300">
                  <c:v>106.12672315280277</c:v>
                </c:pt>
                <c:pt idx="301">
                  <c:v>106.08267479552165</c:v>
                </c:pt>
                <c:pt idx="302">
                  <c:v>106.01867284217623</c:v>
                </c:pt>
                <c:pt idx="303">
                  <c:v>105.93428231014749</c:v>
                </c:pt>
                <c:pt idx="304">
                  <c:v>105.82908267082644</c:v>
                </c:pt>
                <c:pt idx="305">
                  <c:v>105.7026688924803</c:v>
                </c:pt>
                <c:pt idx="306">
                  <c:v>105.5546524491679</c:v>
                </c:pt>
                <c:pt idx="307">
                  <c:v>105.38466229457845</c:v>
                </c:pt>
                <c:pt idx="308">
                  <c:v>105.1923457999689</c:v>
                </c:pt>
                <c:pt idx="309">
                  <c:v>104.97736965565667</c:v>
                </c:pt>
                <c:pt idx="310">
                  <c:v>104.73942073575751</c:v>
                </c:pt>
                <c:pt idx="311">
                  <c:v>104.47820692603695</c:v>
                </c:pt>
                <c:pt idx="312">
                  <c:v>104.1934579148667</c:v>
                </c:pt>
                <c:pt idx="313">
                  <c:v>103.8849259473713</c:v>
                </c:pt>
                <c:pt idx="314">
                  <c:v>103.55238654284686</c:v>
                </c:pt>
                <c:pt idx="315">
                  <c:v>103.19563917552256</c:v>
                </c:pt>
                <c:pt idx="316">
                  <c:v>102.81450791862825</c:v>
                </c:pt>
                <c:pt idx="317">
                  <c:v>102.40884205161629</c:v>
                </c:pt>
                <c:pt idx="318">
                  <c:v>101.97851663018707</c:v>
                </c:pt>
                <c:pt idx="319">
                  <c:v>101.52343301855194</c:v>
                </c:pt>
                <c:pt idx="320">
                  <c:v>101.04351938310897</c:v>
                </c:pt>
                <c:pt idx="321">
                  <c:v>100.53873114641688</c:v>
                </c:pt>
                <c:pt idx="322">
                  <c:v>100.00905140005057</c:v>
                </c:pt>
                <c:pt idx="323">
                  <c:v>99.454491274587696</c:v>
                </c:pt>
                <c:pt idx="324">
                  <c:v>98.875090264662347</c:v>
                </c:pt>
                <c:pt idx="325">
                  <c:v>98.270916506689616</c:v>
                </c:pt>
                <c:pt idx="326">
                  <c:v>97.642067006552196</c:v>
                </c:pt>
                <c:pt idx="327">
                  <c:v>96.988667814260978</c:v>
                </c:pt>
                <c:pt idx="328">
                  <c:v>96.310874142321921</c:v>
                </c:pt>
                <c:pt idx="329">
                  <c:v>95.608870424345241</c:v>
                </c:pt>
                <c:pt idx="330">
                  <c:v>94.882870310232775</c:v>
                </c:pt>
                <c:pt idx="331">
                  <c:v>94.133116594180848</c:v>
                </c:pt>
                <c:pt idx="332">
                  <c:v>93.359881071670756</c:v>
                </c:pt>
                <c:pt idx="333">
                  <c:v>92.563464321615712</c:v>
                </c:pt>
                <c:pt idx="334">
                  <c:v>91.744195409947025</c:v>
                </c:pt>
                <c:pt idx="335">
                  <c:v>90.902431511048079</c:v>
                </c:pt>
                <c:pt idx="336">
                  <c:v>90.038557443720592</c:v>
                </c:pt>
                <c:pt idx="337">
                  <c:v>89.152985118653064</c:v>
                </c:pt>
                <c:pt idx="338">
                  <c:v>88.246152894799607</c:v>
                </c:pt>
                <c:pt idx="339">
                  <c:v>87.318524842542317</c:v>
                </c:pt>
                <c:pt idx="340">
                  <c:v>86.370589912070329</c:v>
                </c:pt>
                <c:pt idx="341">
                  <c:v>85.402861006054792</c:v>
                </c:pt>
                <c:pt idx="342">
                  <c:v>84.415873956378647</c:v>
                </c:pt>
                <c:pt idx="343">
                  <c:v>83.410186405453217</c:v>
                </c:pt>
                <c:pt idx="344">
                  <c:v>82.386376593441824</c:v>
                </c:pt>
                <c:pt idx="345">
                  <c:v>81.345042053558032</c:v>
                </c:pt>
                <c:pt idx="346">
                  <c:v>80.28679821847085</c:v>
                </c:pt>
                <c:pt idx="347">
                  <c:v>79.212276941722521</c:v>
                </c:pt>
                <c:pt idx="348">
                  <c:v>78.122124938936977</c:v>
                </c:pt>
                <c:pt idx="349">
                  <c:v>77.017002154464393</c:v>
                </c:pt>
                <c:pt idx="350">
                  <c:v>75.897580059926398</c:v>
                </c:pt>
                <c:pt idx="351">
                  <c:v>74.764539891909124</c:v>
                </c:pt>
                <c:pt idx="352">
                  <c:v>73.618570836783064</c:v>
                </c:pt>
                <c:pt idx="353">
                  <c:v>72.460368171281615</c:v>
                </c:pt>
                <c:pt idx="354">
                  <c:v>71.290631368013337</c:v>
                </c:pt>
                <c:pt idx="355">
                  <c:v>70.110062175615155</c:v>
                </c:pt>
                <c:pt idx="356">
                  <c:v>68.919362683552094</c:v>
                </c:pt>
                <c:pt idx="357">
                  <c:v>67.719233381895393</c:v>
                </c:pt>
                <c:pt idx="358">
                  <c:v>66.510371226516071</c:v>
                </c:pt>
                <c:pt idx="359">
                  <c:v>65.293467720172956</c:v>
                </c:pt>
                <c:pt idx="360">
                  <c:v>64.069207019874824</c:v>
                </c:pt>
                <c:pt idx="361">
                  <c:v>62.838264080701819</c:v>
                </c:pt>
                <c:pt idx="362">
                  <c:v>61.601302845914716</c:v>
                </c:pt>
                <c:pt idx="363">
                  <c:v>60.358974492775026</c:v>
                </c:pt>
                <c:pt idx="364">
                  <c:v>59.111915742937676</c:v>
                </c:pt>
                <c:pt idx="365">
                  <c:v>57.860747245674645</c:v>
                </c:pt>
                <c:pt idx="366">
                  <c:v>56.606072041434452</c:v>
                </c:pt>
                <c:pt idx="367">
                  <c:v>55.348474112507517</c:v>
                </c:pt>
                <c:pt idx="368">
                  <c:v>54.088517026684677</c:v>
                </c:pt>
                <c:pt idx="369">
                  <c:v>52.826742678944669</c:v>
                </c:pt>
                <c:pt idx="370">
                  <c:v>51.563670135267941</c:v>
                </c:pt>
                <c:pt idx="371">
                  <c:v>50.299794581760743</c:v>
                </c:pt>
                <c:pt idx="372">
                  <c:v>49.035586381329637</c:v>
                </c:pt>
                <c:pt idx="373">
                  <c:v>47.771490239234716</c:v>
                </c:pt>
                <c:pt idx="374">
                  <c:v>46.507924477937721</c:v>
                </c:pt>
                <c:pt idx="375">
                  <c:v>45.245280420811859</c:v>
                </c:pt>
                <c:pt idx="376">
                  <c:v>43.98392188344345</c:v>
                </c:pt>
                <c:pt idx="377">
                  <c:v>42.724184770502603</c:v>
                </c:pt>
                <c:pt idx="378">
                  <c:v>41.466376775443514</c:v>
                </c:pt>
                <c:pt idx="379">
                  <c:v>40.210777179663239</c:v>
                </c:pt>
                <c:pt idx="380">
                  <c:v>38.957636747171755</c:v>
                </c:pt>
                <c:pt idx="381">
                  <c:v>37.707177710343835</c:v>
                </c:pt>
                <c:pt idx="382">
                  <c:v>36.459593841897522</c:v>
                </c:pt>
                <c:pt idx="383">
                  <c:v>35.215050607905695</c:v>
                </c:pt>
                <c:pt idx="384">
                  <c:v>33.973685396393009</c:v>
                </c:pt>
                <c:pt idx="385">
                  <c:v>32.73560781586766</c:v>
                </c:pt>
                <c:pt idx="386">
                  <c:v>31.500900058036613</c:v>
                </c:pt>
                <c:pt idx="387">
                  <c:v>30.269617318886965</c:v>
                </c:pt>
                <c:pt idx="388">
                  <c:v>29.041788272349145</c:v>
                </c:pt>
                <c:pt idx="389">
                  <c:v>27.817415590820467</c:v>
                </c:pt>
                <c:pt idx="390">
                  <c:v>26.596476506963771</c:v>
                </c:pt>
                <c:pt idx="391">
                  <c:v>25.378923411371439</c:v>
                </c:pt>
                <c:pt idx="392">
                  <c:v>24.164684480906633</c:v>
                </c:pt>
                <c:pt idx="393">
                  <c:v>22.953664332803964</c:v>
                </c:pt>
                <c:pt idx="394">
                  <c:v>21.745744699889237</c:v>
                </c:pt>
                <c:pt idx="395">
                  <c:v>20.540785122618043</c:v>
                </c:pt>
                <c:pt idx="396">
                  <c:v>19.338623653970973</c:v>
                </c:pt>
                <c:pt idx="397">
                  <c:v>18.13907757360797</c:v>
                </c:pt>
                <c:pt idx="398">
                  <c:v>16.941944108069443</c:v>
                </c:pt>
                <c:pt idx="399">
                  <c:v>15.747001154200248</c:v>
                </c:pt>
                <c:pt idx="400">
                  <c:v>14.554008003382037</c:v>
                </c:pt>
                <c:pt idx="401">
                  <c:v>13.362706064555825</c:v>
                </c:pt>
                <c:pt idx="402">
                  <c:v>12.172819584438505</c:v>
                </c:pt>
                <c:pt idx="403">
                  <c:v>10.984056363744841</c:v>
                </c:pt>
                <c:pt idx="404">
                  <c:v>9.7961084686394742</c:v>
                </c:pt>
                <c:pt idx="405">
                  <c:v>8.6086529370643383</c:v>
                </c:pt>
                <c:pt idx="406">
                  <c:v>7.4213524799904507</c:v>
                </c:pt>
                <c:pt idx="407">
                  <c:v>6.2338561780626351</c:v>
                </c:pt>
                <c:pt idx="408">
                  <c:v>5.0458001745082273</c:v>
                </c:pt>
                <c:pt idx="409">
                  <c:v>3.8568083655948229</c:v>
                </c:pt>
                <c:pt idx="410">
                  <c:v>2.6664930903267616</c:v>
                </c:pt>
                <c:pt idx="411">
                  <c:v>1.4744558214758896</c:v>
                </c:pt>
                <c:pt idx="412">
                  <c:v>0.28028786044685994</c:v>
                </c:pt>
                <c:pt idx="413">
                  <c:v>-0.91642896111734606</c:v>
                </c:pt>
                <c:pt idx="414">
                  <c:v>-2.1161215696801357</c:v>
                </c:pt>
                <c:pt idx="415">
                  <c:v>-3.3192249243976453</c:v>
                </c:pt>
                <c:pt idx="416">
                  <c:v>-4.5261812738337177</c:v>
                </c:pt>
                <c:pt idx="417">
                  <c:v>-5.7374393902972969</c:v>
                </c:pt>
                <c:pt idx="418">
                  <c:v>-6.9534537768989981</c:v>
                </c:pt>
                <c:pt idx="419">
                  <c:v>-8.1746838420478323</c:v>
                </c:pt>
                <c:pt idx="420">
                  <c:v>-9.4015930357284319</c:v>
                </c:pt>
                <c:pt idx="421">
                  <c:v>-10.634647941547888</c:v>
                </c:pt>
                <c:pt idx="422">
                  <c:v>-11.874317318200852</c:v>
                </c:pt>
                <c:pt idx="423">
                  <c:v>-13.121071083710889</c:v>
                </c:pt>
                <c:pt idx="424">
                  <c:v>-14.375379235515187</c:v>
                </c:pt>
                <c:pt idx="425">
                  <c:v>-15.637710699268951</c:v>
                </c:pt>
                <c:pt idx="426">
                  <c:v>-16.908532099071447</c:v>
                </c:pt>
                <c:pt idx="427">
                  <c:v>-18.188306441732621</c:v>
                </c:pt>
                <c:pt idx="428">
                  <c:v>-19.47749170773012</c:v>
                </c:pt>
                <c:pt idx="429">
                  <c:v>-20.776539341613365</c:v>
                </c:pt>
                <c:pt idx="430">
                  <c:v>-22.085892634865587</c:v>
                </c:pt>
                <c:pt idx="431">
                  <c:v>-23.405984994662528</c:v>
                </c:pt>
                <c:pt idx="432">
                  <c:v>-24.73723809253757</c:v>
                </c:pt>
                <c:pt idx="433">
                  <c:v>-26.080059887784738</c:v>
                </c:pt>
                <c:pt idx="434">
                  <c:v>-27.434842521441713</c:v>
                </c:pt>
                <c:pt idx="435">
                  <c:v>-28.801960078010037</c:v>
                </c:pt>
                <c:pt idx="436">
                  <c:v>-30.18176621365124</c:v>
                </c:pt>
                <c:pt idx="437">
                  <c:v>-31.574591651497347</c:v>
                </c:pt>
                <c:pt idx="438">
                  <c:v>-32.980741546964886</c:v>
                </c:pt>
                <c:pt idx="439">
                  <c:v>-34.400492728554006</c:v>
                </c:pt>
                <c:pt idx="440">
                  <c:v>-35.834090822584152</c:v>
                </c:pt>
                <c:pt idx="441">
                  <c:v>-37.281747273664472</c:v>
                </c:pt>
                <c:pt idx="442">
                  <c:v>-38.743636276373216</c:v>
                </c:pt>
                <c:pt idx="443">
                  <c:v>-40.219891637679176</c:v>
                </c:pt>
                <c:pt idx="444">
                  <c:v>-41.710603593951468</c:v>
                </c:pt>
                <c:pt idx="445">
                  <c:v>-43.215815610974822</c:v>
                </c:pt>
                <c:pt idx="446">
                  <c:v>-44.735521200107492</c:v>
                </c:pt>
                <c:pt idx="447">
                  <c:v>-46.269660788487684</c:v>
                </c:pt>
                <c:pt idx="448">
                  <c:v>-47.818118685874843</c:v>
                </c:pt>
                <c:pt idx="449">
                  <c:v>-49.380720195177368</c:v>
                </c:pt>
                <c:pt idx="450">
                  <c:v>-50.957228917749696</c:v>
                </c:pt>
                <c:pt idx="451">
                  <c:v>-52.547344307981817</c:v>
                </c:pt>
                <c:pt idx="452">
                  <c:v>-54.150699534326222</c:v>
                </c:pt>
                <c:pt idx="453">
                  <c:v>-55.766859705493722</c:v>
                </c:pt>
                <c:pt idx="454">
                  <c:v>-57.395320520880468</c:v>
                </c:pt>
                <c:pt idx="455">
                  <c:v>-59.035507403185377</c:v>
                </c:pt>
                <c:pt idx="456">
                  <c:v>-60.686775168418094</c:v>
                </c:pt>
                <c:pt idx="457">
                  <c:v>-62.348408284010851</c:v>
                </c:pt>
                <c:pt idx="458">
                  <c:v>-64.019621759359495</c:v>
                </c:pt>
                <c:pt idx="459">
                  <c:v>-65.699562704907081</c:v>
                </c:pt>
                <c:pt idx="460">
                  <c:v>-67.387312585830955</c:v>
                </c:pt>
                <c:pt idx="461">
                  <c:v>-69.081890184681455</c:v>
                </c:pt>
                <c:pt idx="462">
                  <c:v>-70.782255274180599</c:v>
                </c:pt>
                <c:pt idx="463">
                  <c:v>-72.487312987131702</c:v>
                </c:pt>
                <c:pt idx="464">
                  <c:v>-74.19591885542863</c:v>
                </c:pt>
                <c:pt idx="465">
                  <c:v>-75.906884474960478</c:v>
                </c:pt>
                <c:pt idx="466">
                  <c:v>-77.618983738314469</c:v>
                </c:pt>
                <c:pt idx="467">
                  <c:v>-79.330959563101359</c:v>
                </c:pt>
                <c:pt idx="468">
                  <c:v>-81.041531031066725</c:v>
                </c:pt>
                <c:pt idx="469">
                  <c:v>-82.749400842362164</c:v>
                </c:pt>
                <c:pt idx="470">
                  <c:v>-84.45326298092786</c:v>
                </c:pt>
                <c:pt idx="471">
                  <c:v>-86.151810481218163</c:v>
                </c:pt>
                <c:pt idx="472">
                  <c:v>-87.843743183738653</c:v>
                </c:pt>
                <c:pt idx="473">
                  <c:v>-89.527775367203077</c:v>
                </c:pt>
                <c:pt idx="474">
                  <c:v>-91.202643148496492</c:v>
                </c:pt>
                <c:pt idx="475">
                  <c:v>-92.867111547948284</c:v>
                </c:pt>
                <c:pt idx="476">
                  <c:v>-94.519981126382788</c:v>
                </c:pt>
                <c:pt idx="477">
                  <c:v>-96.16009411162554</c:v>
                </c:pt>
                <c:pt idx="478">
                  <c:v>-97.786339945169061</c:v>
                </c:pt>
                <c:pt idx="479">
                  <c:v>-99.397660193992607</c:v>
                </c:pt>
                <c:pt idx="480">
                  <c:v>-100.99305278754814</c:v>
                </c:pt>
                <c:pt idx="481">
                  <c:v>-102.57157555512281</c:v>
                </c:pt>
                <c:pt idx="482">
                  <c:v>-104.13234905366082</c:v>
                </c:pt>
                <c:pt idx="483">
                  <c:v>-105.67455869018522</c:v>
                </c:pt>
                <c:pt idx="484">
                  <c:v>-107.19745615586187</c:v>
                </c:pt>
                <c:pt idx="485">
                  <c:v>-108.70036020013157</c:v>
                </c:pt>
                <c:pt idx="486">
                  <c:v>-110.18265678304481</c:v>
                </c:pt>
                <c:pt idx="487">
                  <c:v>-111.64379865178863</c:v>
                </c:pt>
                <c:pt idx="488">
                  <c:v>-113.08330439338538</c:v>
                </c:pt>
                <c:pt idx="489">
                  <c:v>-114.50075701970971</c:v>
                </c:pt>
                <c:pt idx="490">
                  <c:v>-115.89580214336267</c:v>
                </c:pt>
                <c:pt idx="491">
                  <c:v>-117.268145803777</c:v>
                </c:pt>
                <c:pt idx="492">
                  <c:v>-118.61755200231849</c:v>
                </c:pt>
                <c:pt idx="493">
                  <c:v>-119.9438400033642</c:v>
                </c:pt>
                <c:pt idx="494">
                  <c:v>-121.24688145553431</c:v>
                </c:pt>
                <c:pt idx="495">
                  <c:v>-122.52659738371608</c:v>
                </c:pt>
                <c:pt idx="496">
                  <c:v>-123.78295509837351</c:v>
                </c:pt>
                <c:pt idx="497">
                  <c:v>-125.01596506416507</c:v>
                </c:pt>
                <c:pt idx="498">
                  <c:v>-126.22567776517705</c:v>
                </c:pt>
                <c:pt idx="499">
                  <c:v>-127.41218059934251</c:v>
                </c:pt>
                <c:pt idx="500">
                  <c:v>-128.57559482994893</c:v>
                </c:pt>
                <c:pt idx="501">
                  <c:v>-129.71607261762006</c:v>
                </c:pt>
                <c:pt idx="502">
                  <c:v>-130.83379415192277</c:v>
                </c:pt>
                <c:pt idx="503">
                  <c:v>-131.92896489779457</c:v>
                </c:pt>
                <c:pt idx="504">
                  <c:v>-133.00181296838775</c:v>
                </c:pt>
                <c:pt idx="505">
                  <c:v>-134.05258663269129</c:v>
                </c:pt>
                <c:pt idx="506">
                  <c:v>-135.08155196341184</c:v>
                </c:pt>
                <c:pt idx="507">
                  <c:v>-136.0889906281013</c:v>
                </c:pt>
                <c:pt idx="508">
                  <c:v>-137.07519782436546</c:v>
                </c:pt>
                <c:pt idx="509">
                  <c:v>-138.04048035816731</c:v>
                </c:pt>
                <c:pt idx="510">
                  <c:v>-138.98515486273459</c:v>
                </c:pt>
                <c:pt idx="511">
                  <c:v>-139.90954615436294</c:v>
                </c:pt>
                <c:pt idx="512">
                  <c:v>-140.81398572042517</c:v>
                </c:pt>
                <c:pt idx="513">
                  <c:v>-141.69881033417221</c:v>
                </c:pt>
                <c:pt idx="514">
                  <c:v>-142.56436079035589</c:v>
                </c:pt>
                <c:pt idx="515">
                  <c:v>-143.41098075534092</c:v>
                </c:pt>
                <c:pt idx="516">
                  <c:v>-144.23901572515342</c:v>
                </c:pt>
                <c:pt idx="517">
                  <c:v>-145.04881208480683</c:v>
                </c:pt>
                <c:pt idx="518">
                  <c:v>-145.8407162622608</c:v>
                </c:pt>
                <c:pt idx="519">
                  <c:v>-146.61507397044878</c:v>
                </c:pt>
                <c:pt idx="520">
                  <c:v>-147.37222953097231</c:v>
                </c:pt>
                <c:pt idx="521">
                  <c:v>-148.11252527326479</c:v>
                </c:pt>
                <c:pt idx="522">
                  <c:v>-148.83630100327272</c:v>
                </c:pt>
                <c:pt idx="523">
                  <c:v>-149.54389353598447</c:v>
                </c:pt>
                <c:pt idx="524">
                  <c:v>-150.2356362864289</c:v>
                </c:pt>
                <c:pt idx="525">
                  <c:v>-150.91185891406889</c:v>
                </c:pt>
                <c:pt idx="526">
                  <c:v>-151.57288701583389</c:v>
                </c:pt>
                <c:pt idx="527">
                  <c:v>-152.21904186334191</c:v>
                </c:pt>
                <c:pt idx="528">
                  <c:v>-152.85064018016701</c:v>
                </c:pt>
                <c:pt idx="529">
                  <c:v>-153.4679939553213</c:v>
                </c:pt>
                <c:pt idx="530">
                  <c:v>-154.07141028938005</c:v>
                </c:pt>
                <c:pt idx="531">
                  <c:v>-154.66119126999646</c:v>
                </c:pt>
                <c:pt idx="532">
                  <c:v>-155.23763387377491</c:v>
                </c:pt>
                <c:pt idx="533">
                  <c:v>-155.80102989175646</c:v>
                </c:pt>
                <c:pt idx="534">
                  <c:v>-156.35166587597828</c:v>
                </c:pt>
                <c:pt idx="535">
                  <c:v>-156.88982310480569</c:v>
                </c:pt>
                <c:pt idx="536">
                  <c:v>-157.41577756493359</c:v>
                </c:pt>
                <c:pt idx="537">
                  <c:v>-157.92979994814812</c:v>
                </c:pt>
                <c:pt idx="538">
                  <c:v>-158.43215566111297</c:v>
                </c:pt>
                <c:pt idx="539">
                  <c:v>-158.92310484661061</c:v>
                </c:pt>
                <c:pt idx="540">
                  <c:v>-159.40290241481978</c:v>
                </c:pt>
                <c:pt idx="541">
                  <c:v>-159.8717980833471</c:v>
                </c:pt>
              </c:numCache>
            </c:numRef>
          </c:yVal>
          <c:smooth val="1"/>
          <c:extLst>
            <c:ext xmlns:c16="http://schemas.microsoft.com/office/drawing/2014/chart" uri="{C3380CC4-5D6E-409C-BE32-E72D297353CC}">
              <c16:uniqueId val="{0000000B-ECAC-4E20-B866-0DB1B3DE6FE8}"/>
            </c:ext>
          </c:extLst>
        </c:ser>
        <c:dLbls>
          <c:showLegendKey val="0"/>
          <c:showVal val="0"/>
          <c:showCatName val="0"/>
          <c:showSerName val="0"/>
          <c:showPercent val="0"/>
          <c:showBubbleSize val="0"/>
        </c:dLbls>
        <c:axId val="387647744"/>
        <c:axId val="364517248"/>
      </c:scatterChart>
      <c:valAx>
        <c:axId val="357835904"/>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DE"/>
          </a:p>
        </c:txPr>
        <c:crossAx val="364477056"/>
        <c:crosses val="autoZero"/>
        <c:crossBetween val="midCat"/>
      </c:valAx>
      <c:valAx>
        <c:axId val="3644770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DE"/>
          </a:p>
        </c:txPr>
        <c:crossAx val="357835904"/>
        <c:crosses val="autoZero"/>
        <c:crossBetween val="midCat"/>
        <c:majorUnit val="20"/>
        <c:minorUnit val="10"/>
      </c:valAx>
      <c:valAx>
        <c:axId val="364517248"/>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DE"/>
          </a:p>
        </c:txPr>
        <c:crossAx val="387647744"/>
        <c:crosses val="max"/>
        <c:crossBetween val="midCat"/>
        <c:majorUnit val="90"/>
        <c:minorUnit val="45"/>
      </c:valAx>
      <c:valAx>
        <c:axId val="387647744"/>
        <c:scaling>
          <c:logBase val="10"/>
          <c:orientation val="minMax"/>
        </c:scaling>
        <c:delete val="1"/>
        <c:axPos val="b"/>
        <c:numFmt formatCode="0.00" sourceLinked="1"/>
        <c:majorTickMark val="out"/>
        <c:minorTickMark val="none"/>
        <c:tickLblPos val="nextTo"/>
        <c:crossAx val="364517248"/>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78.363025080028464</c:v>
                </c:pt>
                <c:pt idx="1">
                  <c:v>78.120746346465268</c:v>
                </c:pt>
                <c:pt idx="2">
                  <c:v>77.876913734360983</c:v>
                </c:pt>
                <c:pt idx="3">
                  <c:v>77.631486696391676</c:v>
                </c:pt>
                <c:pt idx="4">
                  <c:v>77.384424836833389</c:v>
                </c:pt>
                <c:pt idx="5">
                  <c:v>77.13568800756336</c:v>
                </c:pt>
                <c:pt idx="6">
                  <c:v>76.885236408034814</c:v>
                </c:pt>
                <c:pt idx="7">
                  <c:v>76.633030688884119</c:v>
                </c:pt>
                <c:pt idx="8">
                  <c:v>76.379032058777213</c:v>
                </c:pt>
                <c:pt idx="9">
                  <c:v>76.123202394048491</c:v>
                </c:pt>
                <c:pt idx="10">
                  <c:v>75.865504350634879</c:v>
                </c:pt>
                <c:pt idx="11">
                  <c:v>75.605901477756689</c:v>
                </c:pt>
                <c:pt idx="12">
                  <c:v>75.344358332750986</c:v>
                </c:pt>
                <c:pt idx="13">
                  <c:v>75.080840596417502</c:v>
                </c:pt>
                <c:pt idx="14">
                  <c:v>74.815315188201083</c:v>
                </c:pt>
                <c:pt idx="15">
                  <c:v>74.547750380499053</c:v>
                </c:pt>
                <c:pt idx="16">
                  <c:v>74.278115911354732</c:v>
                </c:pt>
                <c:pt idx="17">
                  <c:v>74.006383094778585</c:v>
                </c:pt>
                <c:pt idx="18">
                  <c:v>73.732524927927585</c:v>
                </c:pt>
                <c:pt idx="19">
                  <c:v>73.456516194365577</c:v>
                </c:pt>
                <c:pt idx="20">
                  <c:v>73.178333562638016</c:v>
                </c:pt>
                <c:pt idx="21">
                  <c:v>72.897955679403296</c:v>
                </c:pt>
                <c:pt idx="22">
                  <c:v>72.615363256392513</c:v>
                </c:pt>
                <c:pt idx="23">
                  <c:v>72.330539150497216</c:v>
                </c:pt>
                <c:pt idx="24">
                  <c:v>72.04346843633401</c:v>
                </c:pt>
                <c:pt idx="25">
                  <c:v>71.754138470681582</c:v>
                </c:pt>
                <c:pt idx="26">
                  <c:v>71.462538948250341</c:v>
                </c:pt>
                <c:pt idx="27">
                  <c:v>71.168661948311808</c:v>
                </c:pt>
                <c:pt idx="28">
                  <c:v>70.872501971790612</c:v>
                </c:pt>
                <c:pt idx="29">
                  <c:v>70.574055968505036</c:v>
                </c:pt>
                <c:pt idx="30">
                  <c:v>70.273323354326081</c:v>
                </c:pt>
                <c:pt idx="31">
                  <c:v>69.970306018117839</c:v>
                </c:pt>
                <c:pt idx="32">
                  <c:v>69.665008318412546</c:v>
                </c:pt>
                <c:pt idx="33">
                  <c:v>69.357437069866251</c:v>
                </c:pt>
                <c:pt idx="34">
                  <c:v>69.047601519635265</c:v>
                </c:pt>
                <c:pt idx="35">
                  <c:v>68.735513313901919</c:v>
                </c:pt>
                <c:pt idx="36">
                  <c:v>68.421186454865875</c:v>
                </c:pt>
                <c:pt idx="37">
                  <c:v>68.104637248598735</c:v>
                </c:pt>
                <c:pt idx="38">
                  <c:v>67.785884244236485</c:v>
                </c:pt>
                <c:pt idx="39">
                  <c:v>67.464948165053698</c:v>
                </c:pt>
                <c:pt idx="40">
                  <c:v>67.141851832022738</c:v>
                </c:pt>
                <c:pt idx="41">
                  <c:v>66.81662008051677</c:v>
                </c:pt>
                <c:pt idx="42">
                  <c:v>66.489279670857925</c:v>
                </c:pt>
                <c:pt idx="43">
                  <c:v>66.159859193444973</c:v>
                </c:pt>
                <c:pt idx="44">
                  <c:v>65.828388969222559</c:v>
                </c:pt>
                <c:pt idx="45">
                  <c:v>65.494900946264863</c:v>
                </c:pt>
                <c:pt idx="46">
                  <c:v>65.159428593258312</c:v>
                </c:pt>
                <c:pt idx="47">
                  <c:v>64.82200679065771</c:v>
                </c:pt>
                <c:pt idx="48">
                  <c:v>64.482671720284387</c:v>
                </c:pt>
                <c:pt idx="49">
                  <c:v>64.141460754112686</c:v>
                </c:pt>
                <c:pt idx="50">
                  <c:v>63.798412342963402</c:v>
                </c:pt>
                <c:pt idx="51">
                  <c:v>63.453565905792793</c:v>
                </c:pt>
                <c:pt idx="52">
                  <c:v>63.106961720224099</c:v>
                </c:pt>
                <c:pt idx="53">
                  <c:v>62.758640814926395</c:v>
                </c:pt>
                <c:pt idx="54">
                  <c:v>62.408644864401182</c:v>
                </c:pt>
                <c:pt idx="55">
                  <c:v>62.057016086682694</c:v>
                </c:pt>
                <c:pt idx="56">
                  <c:v>61.703797144410437</c:v>
                </c:pt>
                <c:pt idx="57">
                  <c:v>61.349031049678302</c:v>
                </c:pt>
                <c:pt idx="58">
                  <c:v>60.992761073011941</c:v>
                </c:pt>
                <c:pt idx="59">
                  <c:v>60.635030656773253</c:v>
                </c:pt>
                <c:pt idx="60">
                  <c:v>60.27588333324006</c:v>
                </c:pt>
                <c:pt idx="61">
                  <c:v>59.915362647558624</c:v>
                </c:pt>
                <c:pt idx="62">
                  <c:v>59.553512085719774</c:v>
                </c:pt>
                <c:pt idx="63">
                  <c:v>59.190375007663228</c:v>
                </c:pt>
                <c:pt idx="64">
                  <c:v>58.825994585573476</c:v>
                </c:pt>
                <c:pt idx="65">
                  <c:v>58.460413747390049</c:v>
                </c:pt>
                <c:pt idx="66">
                  <c:v>58.093675125521258</c:v>
                </c:pt>
                <c:pt idx="67">
                  <c:v>57.725821010713943</c:v>
                </c:pt>
                <c:pt idx="68">
                  <c:v>57.356893311007646</c:v>
                </c:pt>
                <c:pt idx="69">
                  <c:v>56.986933515671588</c:v>
                </c:pt>
                <c:pt idx="70">
                  <c:v>56.615982664001308</c:v>
                </c:pt>
                <c:pt idx="71">
                  <c:v>56.244081318835519</c:v>
                </c:pt>
                <c:pt idx="72">
                  <c:v>55.871269544632234</c:v>
                </c:pt>
                <c:pt idx="73">
                  <c:v>55.4975868899351</c:v>
                </c:pt>
                <c:pt idx="74">
                  <c:v>55.123072374046991</c:v>
                </c:pt>
                <c:pt idx="75">
                  <c:v>54.747764477721546</c:v>
                </c:pt>
                <c:pt idx="76">
                  <c:v>54.371701137678102</c:v>
                </c:pt>
                <c:pt idx="77">
                  <c:v>53.994919744739036</c:v>
                </c:pt>
                <c:pt idx="78">
                  <c:v>53.617457145391747</c:v>
                </c:pt>
                <c:pt idx="79">
                  <c:v>53.239349646572826</c:v>
                </c:pt>
                <c:pt idx="80">
                  <c:v>52.860633023476723</c:v>
                </c:pt>
                <c:pt idx="81">
                  <c:v>52.481342530192514</c:v>
                </c:pt>
                <c:pt idx="82">
                  <c:v>52.101512912975565</c:v>
                </c:pt>
                <c:pt idx="83">
                  <c:v>51.721178425968397</c:v>
                </c:pt>
                <c:pt idx="84">
                  <c:v>51.340372849186167</c:v>
                </c:pt>
                <c:pt idx="85">
                  <c:v>50.959129508592696</c:v>
                </c:pt>
                <c:pt idx="86">
                  <c:v>50.577481298094405</c:v>
                </c:pt>
                <c:pt idx="87">
                  <c:v>50.1954607032905</c:v>
                </c:pt>
                <c:pt idx="88">
                  <c:v>49.813099826820689</c:v>
                </c:pt>
                <c:pt idx="89">
                  <c:v>49.430430415161418</c:v>
                </c:pt>
                <c:pt idx="90">
                  <c:v>49.04748388672337</c:v>
                </c:pt>
                <c:pt idx="91">
                  <c:v>48.66429136111573</c:v>
                </c:pt>
                <c:pt idx="92">
                  <c:v>48.280883689442113</c:v>
                </c:pt>
                <c:pt idx="93">
                  <c:v>47.897291485501853</c:v>
                </c:pt>
                <c:pt idx="94">
                  <c:v>47.513545157775567</c:v>
                </c:pt>
                <c:pt idx="95">
                  <c:v>47.129674942077671</c:v>
                </c:pt>
                <c:pt idx="96">
                  <c:v>46.745710934760766</c:v>
                </c:pt>
                <c:pt idx="97">
                  <c:v>46.361683126364497</c:v>
                </c:pt>
                <c:pt idx="98">
                  <c:v>45.977621435599033</c:v>
                </c:pt>
                <c:pt idx="99">
                  <c:v>45.593555743560863</c:v>
                </c:pt>
                <c:pt idx="100">
                  <c:v>45.209515928074843</c:v>
                </c:pt>
                <c:pt idx="101">
                  <c:v>44.825531898061371</c:v>
                </c:pt>
                <c:pt idx="102">
                  <c:v>44.441633627825908</c:v>
                </c:pt>
                <c:pt idx="103">
                  <c:v>44.057851191166222</c:v>
                </c:pt>
                <c:pt idx="104">
                  <c:v>43.674214795195525</c:v>
                </c:pt>
                <c:pt idx="105">
                  <c:v>43.290754813772871</c:v>
                </c:pt>
                <c:pt idx="106">
                  <c:v>42.907501820433126</c:v>
                </c:pt>
                <c:pt idx="107">
                  <c:v>42.52448662070482</c:v>
                </c:pt>
                <c:pt idx="108">
                  <c:v>42.141740283700003</c:v>
                </c:pt>
                <c:pt idx="109">
                  <c:v>41.759294172855093</c:v>
                </c:pt>
                <c:pt idx="110">
                  <c:v>41.377179975699512</c:v>
                </c:pt>
                <c:pt idx="111">
                  <c:v>40.995429732521316</c:v>
                </c:pt>
                <c:pt idx="112">
                  <c:v>40.614075863793595</c:v>
                </c:pt>
                <c:pt idx="113">
                  <c:v>40.233151196220675</c:v>
                </c:pt>
                <c:pt idx="114">
                  <c:v>39.852688987255782</c:v>
                </c:pt>
                <c:pt idx="115">
                  <c:v>39.472722947934514</c:v>
                </c:pt>
                <c:pt idx="116">
                  <c:v>39.093287263865918</c:v>
                </c:pt>
                <c:pt idx="117">
                  <c:v>38.71441661421018</c:v>
                </c:pt>
                <c:pt idx="118">
                  <c:v>38.336146188471922</c:v>
                </c:pt>
                <c:pt idx="119">
                  <c:v>37.958511700927907</c:v>
                </c:pt>
                <c:pt idx="120">
                  <c:v>37.581549402504734</c:v>
                </c:pt>
                <c:pt idx="121">
                  <c:v>37.205296089915315</c:v>
                </c:pt>
                <c:pt idx="122">
                  <c:v>36.829789111861274</c:v>
                </c:pt>
                <c:pt idx="123">
                  <c:v>36.455066372102714</c:v>
                </c:pt>
                <c:pt idx="124">
                  <c:v>36.081166329196478</c:v>
                </c:pt>
                <c:pt idx="125">
                  <c:v>35.708127992703488</c:v>
                </c:pt>
                <c:pt idx="126">
                  <c:v>35.335990915664716</c:v>
                </c:pt>
                <c:pt idx="127">
                  <c:v>34.964795183152205</c:v>
                </c:pt>
                <c:pt idx="128">
                  <c:v>34.594581396702083</c:v>
                </c:pt>
                <c:pt idx="129">
                  <c:v>34.225390654445448</c:v>
                </c:pt>
                <c:pt idx="130">
                  <c:v>33.857264526764951</c:v>
                </c:pt>
                <c:pt idx="131">
                  <c:v>33.490245027311843</c:v>
                </c:pt>
                <c:pt idx="132">
                  <c:v>33.124374579239436</c:v>
                </c:pt>
                <c:pt idx="133">
                  <c:v>32.759695976521513</c:v>
                </c:pt>
                <c:pt idx="134">
                  <c:v>32.396252340250754</c:v>
                </c:pt>
                <c:pt idx="135">
                  <c:v>32.034087069832722</c:v>
                </c:pt>
                <c:pt idx="136">
                  <c:v>31.673243789021029</c:v>
                </c:pt>
                <c:pt idx="137">
                  <c:v>31.313766286771351</c:v>
                </c:pt>
                <c:pt idx="138">
                  <c:v>30.955698452924729</c:v>
                </c:pt>
                <c:pt idx="139">
                  <c:v>30.599084208770847</c:v>
                </c:pt>
                <c:pt idx="140">
                  <c:v>30.243967432581943</c:v>
                </c:pt>
                <c:pt idx="141">
                  <c:v>29.890391880252292</c:v>
                </c:pt>
                <c:pt idx="142">
                  <c:v>29.538401101226711</c:v>
                </c:pt>
                <c:pt idx="143">
                  <c:v>29.188038349948407</c:v>
                </c:pt>
                <c:pt idx="144">
                  <c:v>28.839346493108408</c:v>
                </c:pt>
                <c:pt idx="145">
                  <c:v>28.492367913031664</c:v>
                </c:pt>
                <c:pt idx="146">
                  <c:v>28.14714440758771</c:v>
                </c:pt>
                <c:pt idx="147">
                  <c:v>27.803717087064811</c:v>
                </c:pt>
                <c:pt idx="148">
                  <c:v>27.462126268501304</c:v>
                </c:pt>
                <c:pt idx="149">
                  <c:v>27.122411368016529</c:v>
                </c:pt>
                <c:pt idx="150">
                  <c:v>26.7846107917326</c:v>
                </c:pt>
                <c:pt idx="151">
                  <c:v>26.448761825922151</c:v>
                </c:pt>
                <c:pt idx="152">
                  <c:v>26.114900527059014</c:v>
                </c:pt>
                <c:pt idx="153">
                  <c:v>25.783061612481642</c:v>
                </c:pt>
                <c:pt idx="154">
                  <c:v>25.453278352412596</c:v>
                </c:pt>
                <c:pt idx="155">
                  <c:v>25.125582464093554</c:v>
                </c:pt>
                <c:pt idx="156">
                  <c:v>24.8000040088167</c:v>
                </c:pt>
                <c:pt idx="157">
                  <c:v>24.47657129263472</c:v>
                </c:pt>
                <c:pt idx="158">
                  <c:v>24.155310771532278</c:v>
                </c:pt>
                <c:pt idx="159">
                  <c:v>23.836246961828781</c:v>
                </c:pt>
                <c:pt idx="160">
                  <c:v>23.519402356561297</c:v>
                </c:pt>
                <c:pt idx="161">
                  <c:v>23.204797348567293</c:v>
                </c:pt>
                <c:pt idx="162">
                  <c:v>22.892450160943095</c:v>
                </c:pt>
                <c:pt idx="163">
                  <c:v>22.582376785509819</c:v>
                </c:pt>
                <c:pt idx="164">
                  <c:v>22.274590929854657</c:v>
                </c:pt>
                <c:pt idx="165">
                  <c:v>21.969103973453493</c:v>
                </c:pt>
                <c:pt idx="166">
                  <c:v>21.665924933305043</c:v>
                </c:pt>
                <c:pt idx="167">
                  <c:v>21.365060439426735</c:v>
                </c:pt>
                <c:pt idx="168">
                  <c:v>21.066514720479379</c:v>
                </c:pt>
                <c:pt idx="169">
                  <c:v>20.770289599696138</c:v>
                </c:pt>
                <c:pt idx="170">
                  <c:v>20.476384501201615</c:v>
                </c:pt>
                <c:pt idx="171">
                  <c:v>20.184796466713685</c:v>
                </c:pt>
                <c:pt idx="172">
                  <c:v>19.895520182527839</c:v>
                </c:pt>
                <c:pt idx="173">
                  <c:v>19.608548016593016</c:v>
                </c:pt>
                <c:pt idx="174">
                  <c:v>19.323870065400989</c:v>
                </c:pt>
                <c:pt idx="175">
                  <c:v>19.041474210326864</c:v>
                </c:pt>
                <c:pt idx="176">
                  <c:v>18.761346182980922</c:v>
                </c:pt>
                <c:pt idx="177">
                  <c:v>18.483469639061486</c:v>
                </c:pt>
                <c:pt idx="178">
                  <c:v>18.207826240133343</c:v>
                </c:pt>
                <c:pt idx="179">
                  <c:v>17.934395742702293</c:v>
                </c:pt>
                <c:pt idx="180">
                  <c:v>17.663156093911219</c:v>
                </c:pt>
                <c:pt idx="181">
                  <c:v>17.394083533142158</c:v>
                </c:pt>
                <c:pt idx="182">
                  <c:v>17.127152698786322</c:v>
                </c:pt>
                <c:pt idx="183">
                  <c:v>16.862336739423519</c:v>
                </c:pt>
                <c:pt idx="184">
                  <c:v>16.599607428643711</c:v>
                </c:pt>
                <c:pt idx="185">
                  <c:v>16.338935282746021</c:v>
                </c:pt>
                <c:pt idx="186">
                  <c:v>16.080289680558955</c:v>
                </c:pt>
                <c:pt idx="187">
                  <c:v>15.823638984643173</c:v>
                </c:pt>
                <c:pt idx="188">
                  <c:v>15.568950663161766</c:v>
                </c:pt>
                <c:pt idx="189">
                  <c:v>15.316191411738307</c:v>
                </c:pt>
                <c:pt idx="190">
                  <c:v>15.06532727465453</c:v>
                </c:pt>
                <c:pt idx="191">
                  <c:v>14.816323764786778</c:v>
                </c:pt>
                <c:pt idx="192">
                  <c:v>14.569145981722148</c:v>
                </c:pt>
                <c:pt idx="193">
                  <c:v>14.323758727547411</c:v>
                </c:pt>
                <c:pt idx="194">
                  <c:v>14.080126619852374</c:v>
                </c:pt>
                <c:pt idx="195">
                  <c:v>13.838214201543067</c:v>
                </c:pt>
                <c:pt idx="196">
                  <c:v>13.597986047112089</c:v>
                </c:pt>
                <c:pt idx="197">
                  <c:v>13.359406865067738</c:v>
                </c:pt>
                <c:pt idx="198">
                  <c:v>13.122441596272216</c:v>
                </c:pt>
                <c:pt idx="199">
                  <c:v>12.887055507991347</c:v>
                </c:pt>
                <c:pt idx="200">
                  <c:v>12.653214283506326</c:v>
                </c:pt>
                <c:pt idx="201">
                  <c:v>12.420884107182037</c:v>
                </c:pt>
                <c:pt idx="202">
                  <c:v>12.190031744930776</c:v>
                </c:pt>
                <c:pt idx="203">
                  <c:v>11.960624620047417</c:v>
                </c:pt>
                <c:pt idx="204">
                  <c:v>11.732630884432275</c:v>
                </c:pt>
                <c:pt idx="205">
                  <c:v>11.506019485244778</c:v>
                </c:pt>
                <c:pt idx="206">
                  <c:v>11.280760227066274</c:v>
                </c:pt>
                <c:pt idx="207">
                  <c:v>11.056823829671609</c:v>
                </c:pt>
                <c:pt idx="208">
                  <c:v>10.834181981532932</c:v>
                </c:pt>
                <c:pt idx="209">
                  <c:v>10.612807389197172</c:v>
                </c:pt>
                <c:pt idx="210">
                  <c:v>10.392673822694547</c:v>
                </c:pt>
                <c:pt idx="211">
                  <c:v>10.173756157147064</c:v>
                </c:pt>
                <c:pt idx="212">
                  <c:v>9.9560304107542326</c:v>
                </c:pt>
                <c:pt idx="213">
                  <c:v>9.7394737793403063</c:v>
                </c:pt>
                <c:pt idx="214">
                  <c:v>9.5240646676511993</c:v>
                </c:pt>
                <c:pt idx="215">
                  <c:v>9.3097827175875185</c:v>
                </c:pt>
                <c:pt idx="216">
                  <c:v>9.0966088335627937</c:v>
                </c:pt>
                <c:pt idx="217">
                  <c:v>8.8845252051683659</c:v>
                </c:pt>
                <c:pt idx="218">
                  <c:v>8.6735153273244716</c:v>
                </c:pt>
                <c:pt idx="219">
                  <c:v>8.4635640180876042</c:v>
                </c:pt>
                <c:pt idx="220">
                  <c:v>8.2546574342772594</c:v>
                </c:pt>
                <c:pt idx="221">
                  <c:v>8.046783085074031</c:v>
                </c:pt>
                <c:pt idx="222">
                  <c:v>7.8399298437312499</c:v>
                </c:pt>
                <c:pt idx="223">
                  <c:v>7.6340879575284193</c:v>
                </c:pt>
                <c:pt idx="224">
                  <c:v>7.4292490560843314</c:v>
                </c:pt>
                <c:pt idx="225">
                  <c:v>7.2254061581302178</c:v>
                </c:pt>
                <c:pt idx="226">
                  <c:v>7.0225536768335104</c:v>
                </c:pt>
                <c:pt idx="227">
                  <c:v>6.8206874237436566</c:v>
                </c:pt>
                <c:pt idx="228">
                  <c:v>6.6198046114183295</c:v>
                </c:pt>
                <c:pt idx="229">
                  <c:v>6.4199038547725831</c:v>
                </c:pt>
                <c:pt idx="230">
                  <c:v>6.2209851711767552</c:v>
                </c:pt>
                <c:pt idx="231">
                  <c:v>6.0230499793137602</c:v>
                </c:pt>
                <c:pt idx="232">
                  <c:v>5.8261010967891291</c:v>
                </c:pt>
                <c:pt idx="233">
                  <c:v>5.6301427364732817</c:v>
                </c:pt>
                <c:pt idx="234">
                  <c:v>5.4351805015362764</c:v>
                </c:pt>
                <c:pt idx="235">
                  <c:v>5.2412213791227664</c:v>
                </c:pt>
                <c:pt idx="236">
                  <c:v>5.0482737325977576</c:v>
                </c:pt>
                <c:pt idx="237">
                  <c:v>4.8563472922784126</c:v>
                </c:pt>
                <c:pt idx="238">
                  <c:v>4.6654531445527434</c:v>
                </c:pt>
                <c:pt idx="239">
                  <c:v>4.4756037192742868</c:v>
                </c:pt>
                <c:pt idx="240">
                  <c:v>4.2868127753037504</c:v>
                </c:pt>
                <c:pt idx="241">
                  <c:v>4.0990953840604956</c:v>
                </c:pt>
                <c:pt idx="242">
                  <c:v>3.9124679109346716</c:v>
                </c:pt>
                <c:pt idx="243">
                  <c:v>3.7269479943973867</c:v>
                </c:pt>
                <c:pt idx="244">
                  <c:v>3.542554522640188</c:v>
                </c:pt>
                <c:pt idx="245">
                  <c:v>3.3593076075671071</c:v>
                </c:pt>
                <c:pt idx="246">
                  <c:v>3.1772285559559736</c:v>
                </c:pt>
                <c:pt idx="247">
                  <c:v>2.9963398376006256</c:v>
                </c:pt>
                <c:pt idx="248">
                  <c:v>2.8166650502457395</c:v>
                </c:pt>
                <c:pt idx="249">
                  <c:v>2.6382288811238936</c:v>
                </c:pt>
                <c:pt idx="250">
                  <c:v>2.4610570649084353</c:v>
                </c:pt>
                <c:pt idx="251">
                  <c:v>2.2851763378999546</c:v>
                </c:pt>
                <c:pt idx="252">
                  <c:v>2.110614388272861</c:v>
                </c:pt>
                <c:pt idx="253">
                  <c:v>1.9373998022184102</c:v>
                </c:pt>
                <c:pt idx="254">
                  <c:v>1.7655620058354322</c:v>
                </c:pt>
                <c:pt idx="255">
                  <c:v>1.5951312026373954</c:v>
                </c:pt>
                <c:pt idx="256">
                  <c:v>1.4261383065657758</c:v>
                </c:pt>
                <c:pt idx="257">
                  <c:v>1.2586148704216249</c:v>
                </c:pt>
                <c:pt idx="258">
                  <c:v>1.0925930096592333</c:v>
                </c:pt>
                <c:pt idx="259">
                  <c:v>0.92810532151348479</c:v>
                </c:pt>
                <c:pt idx="260">
                  <c:v>0.76518479947076656</c:v>
                </c:pt>
                <c:pt idx="261">
                  <c:v>0.60386474312960947</c:v>
                </c:pt>
                <c:pt idx="262">
                  <c:v>0.44417866353982488</c:v>
                </c:pt>
                <c:pt idx="263">
                  <c:v>0.28616018415512345</c:v>
                </c:pt>
                <c:pt idx="264">
                  <c:v>0.12984293757898782</c:v>
                </c:pt>
                <c:pt idx="265">
                  <c:v>-2.4739541663436414E-2</c:v>
                </c:pt>
                <c:pt idx="266">
                  <c:v>-0.17755392804624212</c:v>
                </c:pt>
                <c:pt idx="267">
                  <c:v>-0.32856721931859728</c:v>
                </c:pt>
                <c:pt idx="268">
                  <c:v>-0.47774685374761738</c:v>
                </c:pt>
                <c:pt idx="269">
                  <c:v>-0.6250608298846384</c:v>
                </c:pt>
                <c:pt idx="270">
                  <c:v>-0.77047782835995104</c:v>
                </c:pt>
                <c:pt idx="271">
                  <c:v>-0.9139673351583113</c:v>
                </c:pt>
                <c:pt idx="272">
                  <c:v>-1.0554997657815073</c:v>
                </c:pt>
                <c:pt idx="273">
                  <c:v>-1.1950465896580111</c:v>
                </c:pt>
                <c:pt idx="274">
                  <c:v>-1.3325804541192254</c:v>
                </c:pt>
                <c:pt idx="275">
                  <c:v>-1.4680753072265142</c:v>
                </c:pt>
                <c:pt idx="276">
                  <c:v>-1.6015065187044293</c:v>
                </c:pt>
                <c:pt idx="277">
                  <c:v>-1.7328509982144698</c:v>
                </c:pt>
                <c:pt idx="278">
                  <c:v>-1.8620873101853066</c:v>
                </c:pt>
                <c:pt idx="279">
                  <c:v>-1.9891957844150299</c:v>
                </c:pt>
                <c:pt idx="280">
                  <c:v>-2.1141586216578472</c:v>
                </c:pt>
                <c:pt idx="281">
                  <c:v>-2.2369599934238797</c:v>
                </c:pt>
                <c:pt idx="282">
                  <c:v>-2.3575861352395622</c:v>
                </c:pt>
                <c:pt idx="283">
                  <c:v>-2.4760254326478019</c:v>
                </c:pt>
                <c:pt idx="284">
                  <c:v>-2.5922684992673677</c:v>
                </c:pt>
                <c:pt idx="285">
                  <c:v>-2.7063082462798551</c:v>
                </c:pt>
                <c:pt idx="286">
                  <c:v>-2.8181399427698448</c:v>
                </c:pt>
                <c:pt idx="287">
                  <c:v>-2.9277612664106183</c:v>
                </c:pt>
                <c:pt idx="288">
                  <c:v>-3.035172344060463</c:v>
                </c:pt>
                <c:pt idx="289">
                  <c:v>-3.1403757819093898</c:v>
                </c:pt>
                <c:pt idx="290">
                  <c:v>-3.2433766849078078</c:v>
                </c:pt>
                <c:pt idx="291">
                  <c:v>-3.3441826652841748</c:v>
                </c:pt>
                <c:pt idx="292">
                  <c:v>-3.4428038400604217</c:v>
                </c:pt>
                <c:pt idx="293">
                  <c:v>-3.5392528175524602</c:v>
                </c:pt>
                <c:pt idx="294">
                  <c:v>-3.6335446729427328</c:v>
                </c:pt>
                <c:pt idx="295">
                  <c:v>-3.7256969130916797</c:v>
                </c:pt>
                <c:pt idx="296">
                  <c:v>-3.8157294308449661</c:v>
                </c:pt>
                <c:pt idx="297">
                  <c:v>-3.9036644491699688</c:v>
                </c:pt>
                <c:pt idx="298">
                  <c:v>-3.9895264555327774</c:v>
                </c:pt>
                <c:pt idx="299">
                  <c:v>-4.0733421269905454</c:v>
                </c:pt>
                <c:pt idx="300">
                  <c:v>-4.1551402465405332</c:v>
                </c:pt>
                <c:pt idx="301">
                  <c:v>-4.2349516113141652</c:v>
                </c:pt>
                <c:pt idx="302">
                  <c:v>-4.3128089332518469</c:v>
                </c:pt>
                <c:pt idx="303">
                  <c:v>-4.3887467329297998</c:v>
                </c:pt>
                <c:pt idx="304">
                  <c:v>-4.4628012272333972</c:v>
                </c:pt>
                <c:pt idx="305">
                  <c:v>-4.5350102115951838</c:v>
                </c:pt>
                <c:pt idx="306">
                  <c:v>-4.6054129375182455</c:v>
                </c:pt>
                <c:pt idx="307">
                  <c:v>-4.6740499861129896</c:v>
                </c:pt>
                <c:pt idx="308">
                  <c:v>-4.7409631383655331</c:v>
                </c:pt>
                <c:pt idx="309">
                  <c:v>-4.8061952428461918</c:v>
                </c:pt>
                <c:pt idx="310">
                  <c:v>-4.8697900815446191</c:v>
                </c:pt>
                <c:pt idx="311">
                  <c:v>-4.9317922344986638</c:v>
                </c:pt>
                <c:pt idx="312">
                  <c:v>-4.9922469438537957</c:v>
                </c:pt>
                <c:pt idx="313">
                  <c:v>-5.051199977959806</c:v>
                </c:pt>
                <c:pt idx="314">
                  <c:v>-5.1086974960798992</c:v>
                </c:pt>
                <c:pt idx="315">
                  <c:v>-5.1647859142526107</c:v>
                </c:pt>
                <c:pt idx="316">
                  <c:v>-5.2195117728122709</c:v>
                </c:pt>
                <c:pt idx="317">
                  <c:v>-5.2729216060417317</c:v>
                </c:pt>
                <c:pt idx="318">
                  <c:v>-5.3250618143963475</c:v>
                </c:pt>
                <c:pt idx="319">
                  <c:v>-5.3759785397091919</c:v>
                </c:pt>
                <c:pt idx="320">
                  <c:v>-5.4257175437581413</c:v>
                </c:pt>
                <c:pt idx="321">
                  <c:v>-5.4743240905504322</c:v>
                </c:pt>
                <c:pt idx="322">
                  <c:v>-5.5218428326570024</c:v>
                </c:pt>
                <c:pt idx="323">
                  <c:v>-5.5683177019093133</c:v>
                </c:pt>
                <c:pt idx="324">
                  <c:v>-5.6137918047549782</c:v>
                </c:pt>
                <c:pt idx="325">
                  <c:v>-5.6583073225556655</c:v>
                </c:pt>
                <c:pt idx="326">
                  <c:v>-5.701905417097052</c:v>
                </c:pt>
                <c:pt idx="327">
                  <c:v>-5.7446261415762914</c:v>
                </c:pt>
                <c:pt idx="328">
                  <c:v>-5.7865083573213338</c:v>
                </c:pt>
                <c:pt idx="329">
                  <c:v>-5.8275896564935152</c:v>
                </c:pt>
                <c:pt idx="330">
                  <c:v>-5.86790629101933</c:v>
                </c:pt>
                <c:pt idx="331">
                  <c:v>-5.9074931079932629</c:v>
                </c:pt>
                <c:pt idx="332">
                  <c:v>-5.9463834917835898</c:v>
                </c:pt>
                <c:pt idx="333">
                  <c:v>-5.9846093130744746</c:v>
                </c:pt>
                <c:pt idx="334">
                  <c:v>-6.0222008850581403</c:v>
                </c:pt>
                <c:pt idx="335">
                  <c:v>-6.059186926985392</c:v>
                </c:pt>
                <c:pt idx="336">
                  <c:v>-6.0955945352652048</c:v>
                </c:pt>
                <c:pt idx="337">
                  <c:v>-6.1314491622817657</c:v>
                </c:pt>
                <c:pt idx="338">
                  <c:v>-6.1667746030750239</c:v>
                </c:pt>
                <c:pt idx="339">
                  <c:v>-6.2015929900007238</c:v>
                </c:pt>
                <c:pt idx="340">
                  <c:v>-6.2359247954484012</c:v>
                </c:pt>
                <c:pt idx="341">
                  <c:v>-6.2697888426599881</c:v>
                </c:pt>
                <c:pt idx="342">
                  <c:v>-6.3032023246420916</c:v>
                </c:pt>
                <c:pt idx="343">
                  <c:v>-6.3361808311175487</c:v>
                </c:pt>
                <c:pt idx="344">
                  <c:v>-6.368738383407905</c:v>
                </c:pt>
                <c:pt idx="345">
                  <c:v>-6.4008874770776405</c:v>
                </c:pt>
                <c:pt idx="346">
                  <c:v>-6.432639132112814</c:v>
                </c:pt>
                <c:pt idx="347">
                  <c:v>-6.4640029503447707</c:v>
                </c:pt>
                <c:pt idx="348">
                  <c:v>-6.4949871797613294</c:v>
                </c:pt>
                <c:pt idx="349">
                  <c:v>-6.5255987852923525</c:v>
                </c:pt>
                <c:pt idx="350">
                  <c:v>-6.5558435255869156</c:v>
                </c:pt>
                <c:pt idx="351">
                  <c:v>-6.5857260352493983</c:v>
                </c:pt>
                <c:pt idx="352">
                  <c:v>-6.6152499119411274</c:v>
                </c:pt>
                <c:pt idx="353">
                  <c:v>-6.6444178077090479</c:v>
                </c:pt>
                <c:pt idx="354">
                  <c:v>-6.6732315238614426</c:v>
                </c:pt>
                <c:pt idx="355">
                  <c:v>-6.7016921086754824</c:v>
                </c:pt>
                <c:pt idx="356">
                  <c:v>-6.7297999571966489</c:v>
                </c:pt>
                <c:pt idx="357">
                  <c:v>-6.7575549123754675</c:v>
                </c:pt>
                <c:pt idx="358">
                  <c:v>-6.7849563667801149</c:v>
                </c:pt>
                <c:pt idx="359">
                  <c:v>-6.8120033641271593</c:v>
                </c:pt>
                <c:pt idx="360">
                  <c:v>-6.8386946998909837</c:v>
                </c:pt>
                <c:pt idx="361">
                  <c:v>-6.8650290202720523</c:v>
                </c:pt>
                <c:pt idx="362">
                  <c:v>-6.891004918844116</c:v>
                </c:pt>
                <c:pt idx="363">
                  <c:v>-6.9166210302412505</c:v>
                </c:pt>
                <c:pt idx="364">
                  <c:v>-6.94187612029602</c:v>
                </c:pt>
                <c:pt idx="365">
                  <c:v>-6.9667691721054812</c:v>
                </c:pt>
                <c:pt idx="366">
                  <c:v>-6.9912994675587656</c:v>
                </c:pt>
                <c:pt idx="367">
                  <c:v>-7.0154666639366052</c:v>
                </c:pt>
                <c:pt idx="368">
                  <c:v>-7.0392708652640845</c:v>
                </c:pt>
                <c:pt idx="369">
                  <c:v>-7.0627126881732325</c:v>
                </c:pt>
                <c:pt idx="370">
                  <c:v>-7.0857933221101099</c:v>
                </c:pt>
                <c:pt idx="371">
                  <c:v>-7.108514583796298</c:v>
                </c:pt>
                <c:pt idx="372">
                  <c:v>-7.1308789659279137</c:v>
                </c:pt>
                <c:pt idx="373">
                  <c:v>-7.1528896801695439</c:v>
                </c:pt>
                <c:pt idx="374">
                  <c:v>-7.1745506945628552</c:v>
                </c:pt>
                <c:pt idx="375">
                  <c:v>-7.1958667655390034</c:v>
                </c:pt>
                <c:pt idx="376">
                  <c:v>-7.2168434647739446</c:v>
                </c:pt>
                <c:pt idx="377">
                  <c:v>-7.2374872011807065</c:v>
                </c:pt>
                <c:pt idx="378">
                  <c:v>-7.2578052383781833</c:v>
                </c:pt>
                <c:pt idx="379">
                  <c:v>-7.2778057080089891</c:v>
                </c:pt>
                <c:pt idx="380">
                  <c:v>-7.297497619314429</c:v>
                </c:pt>
                <c:pt idx="381">
                  <c:v>-7.3168908653976361</c:v>
                </c:pt>
                <c:pt idx="382">
                  <c:v>-7.3359962266218037</c:v>
                </c:pt>
                <c:pt idx="383">
                  <c:v>-7.3548253716055019</c:v>
                </c:pt>
                <c:pt idx="384">
                  <c:v>-7.3733908562789185</c:v>
                </c:pt>
                <c:pt idx="385">
                  <c:v>-7.3917061214696211</c:v>
                </c:pt>
                <c:pt idx="386">
                  <c:v>-7.4097854894785957</c:v>
                </c:pt>
                <c:pt idx="387">
                  <c:v>-7.4276441601019805</c:v>
                </c:pt>
                <c:pt idx="388">
                  <c:v>-7.445298206538606</c:v>
                </c:pt>
                <c:pt idx="389">
                  <c:v>-7.4627645716126576</c:v>
                </c:pt>
                <c:pt idx="390">
                  <c:v>-7.4800610647204566</c:v>
                </c:pt>
                <c:pt idx="391">
                  <c:v>-7.4972063598914609</c:v>
                </c:pt>
                <c:pt idx="392">
                  <c:v>-7.5142199953357487</c:v>
                </c:pt>
                <c:pt idx="393">
                  <c:v>-7.531122374826138</c:v>
                </c:pt>
                <c:pt idx="394">
                  <c:v>-7.5479347712422618</c:v>
                </c:pt>
                <c:pt idx="395">
                  <c:v>-7.5646793325840225</c:v>
                </c:pt>
                <c:pt idx="396">
                  <c:v>-7.5813790907402732</c:v>
                </c:pt>
                <c:pt idx="397">
                  <c:v>-7.5980579732743481</c:v>
                </c:pt>
                <c:pt idx="398">
                  <c:v>-7.6147408184755685</c:v>
                </c:pt>
                <c:pt idx="399">
                  <c:v>-7.6314533938984948</c:v>
                </c:pt>
                <c:pt idx="400">
                  <c:v>-7.6482224186024776</c:v>
                </c:pt>
                <c:pt idx="401">
                  <c:v>-7.6650755892797262</c:v>
                </c:pt>
                <c:pt idx="402">
                  <c:v>-7.6820416104503551</c:v>
                </c:pt>
                <c:pt idx="403">
                  <c:v>-7.6991502288857685</c:v>
                </c:pt>
                <c:pt idx="404">
                  <c:v>-7.7164322724050525</c:v>
                </c:pt>
                <c:pt idx="405">
                  <c:v>-7.7339196931831236</c:v>
                </c:pt>
                <c:pt idx="406">
                  <c:v>-7.751645615687611</c:v>
                </c:pt>
                <c:pt idx="407">
                  <c:v>-7.7696443893550695</c:v>
                </c:pt>
                <c:pt idx="408">
                  <c:v>-7.7879516461005229</c:v>
                </c:pt>
                <c:pt idx="409">
                  <c:v>-7.8066043627424762</c:v>
                </c:pt>
                <c:pt idx="410">
                  <c:v>-7.8256409284079611</c:v>
                </c:pt>
                <c:pt idx="411">
                  <c:v>-7.8451012169669543</c:v>
                </c:pt>
                <c:pt idx="412">
                  <c:v>-7.8650266645285853</c:v>
                </c:pt>
                <c:pt idx="413">
                  <c:v>-7.8854603520048627</c:v>
                </c:pt>
                <c:pt idx="414">
                  <c:v>-7.9064470927261024</c:v>
                </c:pt>
                <c:pt idx="415">
                  <c:v>-7.9280335250639977</c:v>
                </c:pt>
                <c:pt idx="416">
                  <c:v>-7.9502682099793889</c:v>
                </c:pt>
                <c:pt idx="417">
                  <c:v>-7.9732017333758334</c:v>
                </c:pt>
                <c:pt idx="418">
                  <c:v>-7.9968868130929884</c:v>
                </c:pt>
                <c:pt idx="419">
                  <c:v>-8.0213784103171033</c:v>
                </c:pt>
                <c:pt idx="420">
                  <c:v>-8.0467338451277683</c:v>
                </c:pt>
                <c:pt idx="421">
                  <c:v>-8.0730129158239894</c:v>
                </c:pt>
                <c:pt idx="422">
                  <c:v>-8.1002780215951695</c:v>
                </c:pt>
                <c:pt idx="423">
                  <c:v>-8.1285942880037396</c:v>
                </c:pt>
                <c:pt idx="424">
                  <c:v>-8.1580296946476256</c:v>
                </c:pt>
                <c:pt idx="425">
                  <c:v>-8.1886552042463503</c:v>
                </c:pt>
                <c:pt idx="426">
                  <c:v>-8.2205448922658348</c:v>
                </c:pt>
                <c:pt idx="427">
                  <c:v>-8.253776076051432</c:v>
                </c:pt>
                <c:pt idx="428">
                  <c:v>-8.2884294422754827</c:v>
                </c:pt>
                <c:pt idx="429">
                  <c:v>-8.3245891713332547</c:v>
                </c:pt>
                <c:pt idx="430">
                  <c:v>-8.3623430571314792</c:v>
                </c:pt>
                <c:pt idx="431">
                  <c:v>-8.4017826205095361</c:v>
                </c:pt>
                <c:pt idx="432">
                  <c:v>-8.4430032143220437</c:v>
                </c:pt>
                <c:pt idx="433">
                  <c:v>-8.486104117985235</c:v>
                </c:pt>
                <c:pt idx="434">
                  <c:v>-8.531188619060261</c:v>
                </c:pt>
                <c:pt idx="435">
                  <c:v>-8.5783640792105391</c:v>
                </c:pt>
                <c:pt idx="436">
                  <c:v>-8.6277419816413996</c:v>
                </c:pt>
                <c:pt idx="437">
                  <c:v>-8.6794379569023334</c:v>
                </c:pt>
                <c:pt idx="438">
                  <c:v>-8.7335717837241091</c:v>
                </c:pt>
                <c:pt idx="439">
                  <c:v>-8.7902673613773636</c:v>
                </c:pt>
                <c:pt idx="440">
                  <c:v>-8.8496526498844226</c:v>
                </c:pt>
                <c:pt idx="441">
                  <c:v>-8.9118595743087212</c:v>
                </c:pt>
                <c:pt idx="442">
                  <c:v>-8.9770238892915977</c:v>
                </c:pt>
                <c:pt idx="443">
                  <c:v>-9.0452850000245846</c:v>
                </c:pt>
                <c:pt idx="444">
                  <c:v>-9.116785735943477</c:v>
                </c:pt>
                <c:pt idx="445">
                  <c:v>-9.1916720736287765</c:v>
                </c:pt>
                <c:pt idx="446">
                  <c:v>-9.2700928057026069</c:v>
                </c:pt>
                <c:pt idx="447">
                  <c:v>-9.3521991529463904</c:v>
                </c:pt>
                <c:pt idx="448">
                  <c:v>-9.4381443174256212</c:v>
                </c:pt>
                <c:pt idx="449">
                  <c:v>-9.528082975119883</c:v>
                </c:pt>
                <c:pt idx="450">
                  <c:v>-9.6221707074072178</c:v>
                </c:pt>
                <c:pt idx="451">
                  <c:v>-9.7205633717590469</c:v>
                </c:pt>
                <c:pt idx="452">
                  <c:v>-9.8234164131397641</c:v>
                </c:pt>
                <c:pt idx="453">
                  <c:v>-9.9308841188795842</c:v>
                </c:pt>
                <c:pt idx="454">
                  <c:v>-10.043118821166248</c:v>
                </c:pt>
                <c:pt idx="455">
                  <c:v>-10.160270052760296</c:v>
                </c:pt>
                <c:pt idx="456">
                  <c:v>-10.282483663040701</c:v>
                </c:pt>
                <c:pt idx="457">
                  <c:v>-10.409900902991115</c:v>
                </c:pt>
                <c:pt idx="458">
                  <c:v>-10.542657489187206</c:v>
                </c:pt>
                <c:pt idx="459">
                  <c:v>-10.680882658193831</c:v>
                </c:pt>
                <c:pt idx="460">
                  <c:v>-10.824698223960498</c:v>
                </c:pt>
                <c:pt idx="461">
                  <c:v>-10.974217651760487</c:v>
                </c:pt>
                <c:pt idx="462">
                  <c:v>-11.129545162899468</c:v>
                </c:pt>
                <c:pt idx="463">
                  <c:v>-11.290774884762484</c:v>
                </c:pt>
                <c:pt idx="464">
                  <c:v>-11.457990060741459</c:v>
                </c:pt>
                <c:pt idx="465">
                  <c:v>-11.631262334162709</c:v>
                </c:pt>
                <c:pt idx="466">
                  <c:v>-11.810651119491162</c:v>
                </c:pt>
                <c:pt idx="467">
                  <c:v>-11.996203072837062</c:v>
                </c:pt>
                <c:pt idx="468">
                  <c:v>-12.187951672158032</c:v>
                </c:pt>
                <c:pt idx="469">
                  <c:v>-12.385916915566792</c:v>
                </c:pt>
                <c:pt idx="470">
                  <c:v>-12.590105143886865</c:v>
                </c:pt>
                <c:pt idx="471">
                  <c:v>-12.800508991118839</c:v>
                </c:pt>
                <c:pt idx="472">
                  <c:v>-13.017107463870483</c:v>
                </c:pt>
                <c:pt idx="473">
                  <c:v>-13.239866148158079</c:v>
                </c:pt>
                <c:pt idx="474">
                  <c:v>-13.468737539394105</c:v>
                </c:pt>
                <c:pt idx="475">
                  <c:v>-13.703661488937545</c:v>
                </c:pt>
                <c:pt idx="476">
                  <c:v>-13.944565758364181</c:v>
                </c:pt>
                <c:pt idx="477">
                  <c:v>-14.191366670702044</c:v>
                </c:pt>
                <c:pt idx="478">
                  <c:v>-14.443969846320478</c:v>
                </c:pt>
                <c:pt idx="479">
                  <c:v>-14.702271009988737</c:v>
                </c:pt>
                <c:pt idx="480">
                  <c:v>-14.966156854870764</c:v>
                </c:pt>
                <c:pt idx="481">
                  <c:v>-15.235505948877094</c:v>
                </c:pt>
                <c:pt idx="482">
                  <c:v>-15.510189668850181</c:v>
                </c:pt>
                <c:pt idx="483">
                  <c:v>-15.790073148473247</c:v>
                </c:pt>
                <c:pt idx="484">
                  <c:v>-16.075016226538359</c:v>
                </c:pt>
                <c:pt idx="485">
                  <c:v>-16.364874383211117</c:v>
                </c:pt>
                <c:pt idx="486">
                  <c:v>-16.659499653152576</c:v>
                </c:pt>
                <c:pt idx="487">
                  <c:v>-16.958741505731343</c:v>
                </c:pt>
                <c:pt idx="488">
                  <c:v>-17.262447684024366</c:v>
                </c:pt>
                <c:pt idx="489">
                  <c:v>-17.570464995809555</c:v>
                </c:pt>
                <c:pt idx="490">
                  <c:v>-17.882640051253802</c:v>
                </c:pt>
                <c:pt idx="491">
                  <c:v>-18.198819943439961</c:v>
                </c:pt>
                <c:pt idx="492">
                  <c:v>-18.51885286923569</c:v>
                </c:pt>
                <c:pt idx="493">
                  <c:v>-18.842588689253986</c:v>
                </c:pt>
                <c:pt idx="494">
                  <c:v>-19.169879426768233</c:v>
                </c:pt>
                <c:pt idx="495">
                  <c:v>-19.500579706413482</c:v>
                </c:pt>
                <c:pt idx="496">
                  <c:v>-19.834547134335491</c:v>
                </c:pt>
                <c:pt idx="497">
                  <c:v>-20.171642622118561</c:v>
                </c:pt>
                <c:pt idx="498">
                  <c:v>-20.511730657368943</c:v>
                </c:pt>
                <c:pt idx="499">
                  <c:v>-20.854679524223116</c:v>
                </c:pt>
                <c:pt idx="500">
                  <c:v>-21.20036147734471</c:v>
                </c:pt>
                <c:pt idx="501">
                  <c:v>-21.548652873137627</c:v>
                </c:pt>
                <c:pt idx="502">
                  <c:v>-21.899434261990876</c:v>
                </c:pt>
                <c:pt idx="503">
                  <c:v>-22.252590445367598</c:v>
                </c:pt>
                <c:pt idx="504">
                  <c:v>-22.608010501480468</c:v>
                </c:pt>
                <c:pt idx="505">
                  <c:v>-22.965587783183295</c:v>
                </c:pt>
                <c:pt idx="506">
                  <c:v>-23.325219891536335</c:v>
                </c:pt>
                <c:pt idx="507">
                  <c:v>-23.686808628316935</c:v>
                </c:pt>
                <c:pt idx="508">
                  <c:v>-24.050259930528174</c:v>
                </c:pt>
                <c:pt idx="509">
                  <c:v>-24.415483789729862</c:v>
                </c:pt>
                <c:pt idx="510">
                  <c:v>-24.782394158782644</c:v>
                </c:pt>
                <c:pt idx="511">
                  <c:v>-25.150908848358036</c:v>
                </c:pt>
                <c:pt idx="512">
                  <c:v>-25.520949415337984</c:v>
                </c:pt>
                <c:pt idx="513">
                  <c:v>-25.892441045000428</c:v>
                </c:pt>
                <c:pt idx="514">
                  <c:v>-26.26531242867436</c:v>
                </c:pt>
                <c:pt idx="515">
                  <c:v>-26.639495638346176</c:v>
                </c:pt>
                <c:pt idx="516">
                  <c:v>-27.01492599950836</c:v>
                </c:pt>
                <c:pt idx="517">
                  <c:v>-27.391541963371033</c:v>
                </c:pt>
                <c:pt idx="518">
                  <c:v>-27.769284979390939</c:v>
                </c:pt>
                <c:pt idx="519">
                  <c:v>-28.148099368932847</c:v>
                </c:pt>
                <c:pt idx="520">
                  <c:v>-28.527932200743113</c:v>
                </c:pt>
                <c:pt idx="521">
                  <c:v>-28.90873316879826</c:v>
                </c:pt>
                <c:pt idx="522">
                  <c:v>-29.290454472987232</c:v>
                </c:pt>
                <c:pt idx="523">
                  <c:v>-29.673050702991262</c:v>
                </c:pt>
                <c:pt idx="524">
                  <c:v>-30.056478725647068</c:v>
                </c:pt>
                <c:pt idx="525">
                  <c:v>-30.440697576002741</c:v>
                </c:pt>
                <c:pt idx="526">
                  <c:v>-30.825668352218795</c:v>
                </c:pt>
                <c:pt idx="527">
                  <c:v>-31.211354114411286</c:v>
                </c:pt>
                <c:pt idx="528">
                  <c:v>-31.597719787487431</c:v>
                </c:pt>
                <c:pt idx="529">
                  <c:v>-31.984732067990723</c:v>
                </c:pt>
                <c:pt idx="530">
                  <c:v>-32.372359334930664</c:v>
                </c:pt>
                <c:pt idx="531">
                  <c:v>-32.760571564558298</c:v>
                </c:pt>
                <c:pt idx="532">
                  <c:v>-33.149340249012567</c:v>
                </c:pt>
                <c:pt idx="533">
                  <c:v>-33.538638318759936</c:v>
                </c:pt>
                <c:pt idx="534">
                  <c:v>-33.928440068720512</c:v>
                </c:pt>
                <c:pt idx="535">
                  <c:v>-34.318721087974652</c:v>
                </c:pt>
                <c:pt idx="536">
                  <c:v>-34.709458192929297</c:v>
                </c:pt>
                <c:pt idx="537">
                  <c:v>-35.100629363822534</c:v>
                </c:pt>
                <c:pt idx="538">
                  <c:v>-35.492213684434603</c:v>
                </c:pt>
                <c:pt idx="539">
                  <c:v>-35.884191284878725</c:v>
                </c:pt>
                <c:pt idx="540">
                  <c:v>-36.276543287337994</c:v>
                </c:pt>
                <c:pt idx="541">
                  <c:v>-36.669251754621477</c:v>
                </c:pt>
              </c:numCache>
            </c:numRef>
          </c:yVal>
          <c:smooth val="1"/>
          <c:extLst>
            <c:ext xmlns:c16="http://schemas.microsoft.com/office/drawing/2014/chart" uri="{C3380CC4-5D6E-409C-BE32-E72D297353CC}">
              <c16:uniqueId val="{00000000-8173-45EB-83AD-B179A66292B6}"/>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64.119115262287494</c:v>
                </c:pt>
                <c:pt idx="1">
                  <c:v>63.609259140297851</c:v>
                </c:pt>
                <c:pt idx="2">
                  <c:v>63.092979852811091</c:v>
                </c:pt>
                <c:pt idx="3">
                  <c:v>62.570400709467499</c:v>
                </c:pt>
                <c:pt idx="4">
                  <c:v>62.041657125728811</c:v>
                </c:pt>
                <c:pt idx="5">
                  <c:v>61.506896816365227</c:v>
                </c:pt>
                <c:pt idx="6">
                  <c:v>60.966279952171796</c:v>
                </c:pt>
                <c:pt idx="7">
                  <c:v>60.419979276874372</c:v>
                </c:pt>
                <c:pt idx="8">
                  <c:v>59.868180181304204</c:v>
                </c:pt>
                <c:pt idx="9">
                  <c:v>59.311080732083177</c:v>
                </c:pt>
                <c:pt idx="10">
                  <c:v>58.748891652267062</c:v>
                </c:pt>
                <c:pt idx="11">
                  <c:v>58.181836251641265</c:v>
                </c:pt>
                <c:pt idx="12">
                  <c:v>57.6101503046551</c:v>
                </c:pt>
                <c:pt idx="13">
                  <c:v>57.034081874311582</c:v>
                </c:pt>
                <c:pt idx="14">
                  <c:v>56.453891080712339</c:v>
                </c:pt>
                <c:pt idx="15">
                  <c:v>55.869849813355366</c:v>
                </c:pt>
                <c:pt idx="16">
                  <c:v>55.282241386743287</c:v>
                </c:pt>
                <c:pt idx="17">
                  <c:v>54.69136013932804</c:v>
                </c:pt>
                <c:pt idx="18">
                  <c:v>54.097510976317757</c:v>
                </c:pt>
                <c:pt idx="19">
                  <c:v>53.501008857394567</c:v>
                </c:pt>
                <c:pt idx="20">
                  <c:v>52.902178230918146</c:v>
                </c:pt>
                <c:pt idx="21">
                  <c:v>52.301352416725507</c:v>
                </c:pt>
                <c:pt idx="22">
                  <c:v>51.698872940164222</c:v>
                </c:pt>
                <c:pt idx="23">
                  <c:v>51.095088820515379</c:v>
                </c:pt>
                <c:pt idx="24">
                  <c:v>50.490355817461264</c:v>
                </c:pt>
                <c:pt idx="25">
                  <c:v>49.885035639707517</c:v>
                </c:pt>
                <c:pt idx="26">
                  <c:v>49.279495120318188</c:v>
                </c:pt>
                <c:pt idx="27">
                  <c:v>48.674105363686948</c:v>
                </c:pt>
                <c:pt idx="28">
                  <c:v>48.069240869411196</c:v>
                </c:pt>
                <c:pt idx="29">
                  <c:v>47.465278638607138</c:v>
                </c:pt>
                <c:pt idx="30">
                  <c:v>46.862597268414895</c:v>
                </c:pt>
                <c:pt idx="31">
                  <c:v>46.261576040580543</c:v>
                </c:pt>
                <c:pt idx="32">
                  <c:v>45.662594010090764</c:v>
                </c:pt>
                <c:pt idx="33">
                  <c:v>45.066029099807956</c:v>
                </c:pt>
                <c:pt idx="34">
                  <c:v>44.472257207024732</c:v>
                </c:pt>
                <c:pt idx="35">
                  <c:v>43.881651327676515</c:v>
                </c:pt>
                <c:pt idx="36">
                  <c:v>43.294580703767735</c:v>
                </c:pt>
                <c:pt idx="37">
                  <c:v>42.711409999290943</c:v>
                </c:pt>
                <c:pt idx="38">
                  <c:v>42.132498509581076</c:v>
                </c:pt>
                <c:pt idx="39">
                  <c:v>41.558199408673602</c:v>
                </c:pt>
                <c:pt idx="40">
                  <c:v>40.988859038803938</c:v>
                </c:pt>
                <c:pt idx="41">
                  <c:v>40.42481624571419</c:v>
                </c:pt>
                <c:pt idx="42">
                  <c:v>39.866401762953544</c:v>
                </c:pt>
                <c:pt idx="43">
                  <c:v>39.313937647818165</c:v>
                </c:pt>
                <c:pt idx="44">
                  <c:v>38.767736771070872</c:v>
                </c:pt>
                <c:pt idx="45">
                  <c:v>38.228102362025759</c:v>
                </c:pt>
                <c:pt idx="46">
                  <c:v>37.695327610067338</c:v>
                </c:pt>
                <c:pt idx="47">
                  <c:v>37.16969532313788</c:v>
                </c:pt>
                <c:pt idx="48">
                  <c:v>36.651477643238415</c:v>
                </c:pt>
                <c:pt idx="49">
                  <c:v>36.140935818499422</c:v>
                </c:pt>
                <c:pt idx="50">
                  <c:v>35.638320030928995</c:v>
                </c:pt>
                <c:pt idx="51">
                  <c:v>35.14386927853549</c:v>
                </c:pt>
                <c:pt idx="52">
                  <c:v>34.657811310138435</c:v>
                </c:pt>
                <c:pt idx="53">
                  <c:v>34.180362610842487</c:v>
                </c:pt>
                <c:pt idx="54">
                  <c:v>33.71172843585785</c:v>
                </c:pt>
                <c:pt idx="55">
                  <c:v>33.252102890095955</c:v>
                </c:pt>
                <c:pt idx="56">
                  <c:v>32.801669050754263</c:v>
                </c:pt>
                <c:pt idx="57">
                  <c:v>32.360599129946472</c:v>
                </c:pt>
                <c:pt idx="58">
                  <c:v>31.92905467429927</c:v>
                </c:pt>
                <c:pt idx="59">
                  <c:v>31.507186798359026</c:v>
                </c:pt>
                <c:pt idx="60">
                  <c:v>31.095136448593845</c:v>
                </c:pt>
                <c:pt idx="61">
                  <c:v>30.693034694776074</c:v>
                </c:pt>
                <c:pt idx="62">
                  <c:v>30.301003045531587</c:v>
                </c:pt>
                <c:pt idx="63">
                  <c:v>29.919153784902271</c:v>
                </c:pt>
                <c:pt idx="64">
                  <c:v>29.547590326834314</c:v>
                </c:pt>
                <c:pt idx="65">
                  <c:v>29.186407584597731</c:v>
                </c:pt>
                <c:pt idx="66">
                  <c:v>28.835692352256736</c:v>
                </c:pt>
                <c:pt idx="67">
                  <c:v>28.495523695438386</c:v>
                </c:pt>
                <c:pt idx="68">
                  <c:v>28.165973348785649</c:v>
                </c:pt>
                <c:pt idx="69">
                  <c:v>27.847106117632435</c:v>
                </c:pt>
                <c:pt idx="70">
                  <c:v>27.538980281590071</c:v>
                </c:pt>
                <c:pt idx="71">
                  <c:v>27.241647997898909</c:v>
                </c:pt>
                <c:pt idx="72">
                  <c:v>26.955155702559331</c:v>
                </c:pt>
                <c:pt idx="73">
                  <c:v>26.679544507412366</c:v>
                </c:pt>
                <c:pt idx="74">
                  <c:v>26.414850591506358</c:v>
                </c:pt>
                <c:pt idx="75">
                  <c:v>26.161105585237667</c:v>
                </c:pt>
                <c:pt idx="76">
                  <c:v>25.918336945901277</c:v>
                </c:pt>
                <c:pt idx="77">
                  <c:v>25.686568323434042</c:v>
                </c:pt>
                <c:pt idx="78">
                  <c:v>25.465819915269414</c:v>
                </c:pt>
                <c:pt idx="79">
                  <c:v>25.25610880934801</c:v>
                </c:pt>
                <c:pt idx="80">
                  <c:v>25.057449314454441</c:v>
                </c:pt>
                <c:pt idx="81">
                  <c:v>24.86985327715422</c:v>
                </c:pt>
                <c:pt idx="82">
                  <c:v>24.693330384718081</c:v>
                </c:pt>
                <c:pt idx="83">
                  <c:v>24.527888453502797</c:v>
                </c:pt>
                <c:pt idx="84">
                  <c:v>24.373533702352173</c:v>
                </c:pt>
                <c:pt idx="85">
                  <c:v>24.230271010654082</c:v>
                </c:pt>
                <c:pt idx="86">
                  <c:v>24.098104160755231</c:v>
                </c:pt>
                <c:pt idx="87">
                  <c:v>23.977036064499998</c:v>
                </c:pt>
                <c:pt idx="88">
                  <c:v>23.867068973705376</c:v>
                </c:pt>
                <c:pt idx="89">
                  <c:v>23.768204674433431</c:v>
                </c:pt>
                <c:pt idx="90">
                  <c:v>23.680444664958117</c:v>
                </c:pt>
                <c:pt idx="91">
                  <c:v>23.603790317353074</c:v>
                </c:pt>
                <c:pt idx="92">
                  <c:v>23.538243022652864</c:v>
                </c:pt>
                <c:pt idx="93">
                  <c:v>23.483804319564598</c:v>
                </c:pt>
                <c:pt idx="94">
                  <c:v>23.440476006710455</c:v>
                </c:pt>
                <c:pt idx="95">
                  <c:v>23.408260238406374</c:v>
                </c:pt>
                <c:pt idx="96">
                  <c:v>23.387159603977633</c:v>
                </c:pt>
                <c:pt idx="97">
                  <c:v>23.377177190621595</c:v>
                </c:pt>
                <c:pt idx="98">
                  <c:v>23.378316629829225</c:v>
                </c:pt>
                <c:pt idx="99">
                  <c:v>23.390582127370347</c:v>
                </c:pt>
                <c:pt idx="100">
                  <c:v>23.413978476855835</c:v>
                </c:pt>
                <c:pt idx="101">
                  <c:v>23.448511056873865</c:v>
                </c:pt>
                <c:pt idx="102">
                  <c:v>23.49418581170422</c:v>
                </c:pt>
                <c:pt idx="103">
                  <c:v>23.551009215605866</c:v>
                </c:pt>
                <c:pt idx="104">
                  <c:v>23.618988220670794</c:v>
                </c:pt>
                <c:pt idx="105">
                  <c:v>23.698130188236085</c:v>
                </c:pt>
                <c:pt idx="106">
                  <c:v>23.788442803849104</c:v>
                </c:pt>
                <c:pt idx="107">
                  <c:v>23.889933975776568</c:v>
                </c:pt>
                <c:pt idx="108">
                  <c:v>24.002611717062752</c:v>
                </c:pt>
                <c:pt idx="109">
                  <c:v>24.126484011143909</c:v>
                </c:pt>
                <c:pt idx="110">
                  <c:v>24.261558661044255</c:v>
                </c:pt>
                <c:pt idx="111">
                  <c:v>24.40784312219408</c:v>
                </c:pt>
                <c:pt idx="112">
                  <c:v>24.565344318934475</c:v>
                </c:pt>
                <c:pt idx="113">
                  <c:v>24.734068444801121</c:v>
                </c:pt>
                <c:pt idx="114">
                  <c:v>24.914020746717942</c:v>
                </c:pt>
                <c:pt idx="115">
                  <c:v>25.105205293268629</c:v>
                </c:pt>
                <c:pt idx="116">
                  <c:v>25.307624727264283</c:v>
                </c:pt>
                <c:pt idx="117">
                  <c:v>25.521280002887092</c:v>
                </c:pt>
                <c:pt idx="118">
                  <c:v>25.746170107745151</c:v>
                </c:pt>
                <c:pt idx="119">
                  <c:v>25.982291770256129</c:v>
                </c:pt>
                <c:pt idx="120">
                  <c:v>26.229639152851917</c:v>
                </c:pt>
                <c:pt idx="121">
                  <c:v>26.488203531592863</c:v>
                </c:pt>
                <c:pt idx="122">
                  <c:v>26.75797296287406</c:v>
                </c:pt>
                <c:pt idx="123">
                  <c:v>27.038931938018713</c:v>
                </c:pt>
                <c:pt idx="124">
                  <c:v>27.331061026669083</c:v>
                </c:pt>
                <c:pt idx="125">
                  <c:v>27.634336510010804</c:v>
                </c:pt>
                <c:pt idx="126">
                  <c:v>27.948730005002474</c:v>
                </c:pt>
                <c:pt idx="127">
                  <c:v>28.274208080918346</c:v>
                </c:pt>
                <c:pt idx="128">
                  <c:v>28.610731869665052</c:v>
                </c:pt>
                <c:pt idx="129">
                  <c:v>28.958256671486271</c:v>
                </c:pt>
                <c:pt idx="130">
                  <c:v>29.316731557819981</c:v>
                </c:pt>
                <c:pt idx="131">
                  <c:v>29.686098973242004</c:v>
                </c:pt>
                <c:pt idx="132">
                  <c:v>30.066294338586509</c:v>
                </c:pt>
                <c:pt idx="133">
                  <c:v>30.457245657495235</c:v>
                </c:pt>
                <c:pt idx="134">
                  <c:v>30.858873128802557</c:v>
                </c:pt>
                <c:pt idx="135">
                  <c:v>31.271088767321789</c:v>
                </c:pt>
                <c:pt idx="136">
                  <c:v>31.693796035733065</c:v>
                </c:pt>
                <c:pt idx="137">
                  <c:v>32.126889490413532</c:v>
                </c:pt>
                <c:pt idx="138">
                  <c:v>32.570254444159801</c:v>
                </c:pt>
                <c:pt idx="139">
                  <c:v>33.023766648865625</c:v>
                </c:pt>
                <c:pt idx="140">
                  <c:v>33.487292001282896</c:v>
                </c:pt>
                <c:pt idx="141">
                  <c:v>33.96068627506331</c:v>
                </c:pt>
                <c:pt idx="142">
                  <c:v>34.443794882296103</c:v>
                </c:pt>
                <c:pt idx="143">
                  <c:v>34.936452667761529</c:v>
                </c:pt>
                <c:pt idx="144">
                  <c:v>35.438483739081441</c:v>
                </c:pt>
                <c:pt idx="145">
                  <c:v>35.949701335872994</c:v>
                </c:pt>
                <c:pt idx="146">
                  <c:v>36.469907740908667</c:v>
                </c:pt>
                <c:pt idx="147">
                  <c:v>36.998894236120435</c:v>
                </c:pt>
                <c:pt idx="148">
                  <c:v>37.536441106103211</c:v>
                </c:pt>
                <c:pt idx="149">
                  <c:v>38.082317691531557</c:v>
                </c:pt>
                <c:pt idx="150">
                  <c:v>38.636282494614321</c:v>
                </c:pt>
                <c:pt idx="151">
                  <c:v>39.198083338406313</c:v>
                </c:pt>
                <c:pt idx="152">
                  <c:v>39.767457581407086</c:v>
                </c:pt>
                <c:pt idx="153">
                  <c:v>40.344132388501748</c:v>
                </c:pt>
                <c:pt idx="154">
                  <c:v>40.927825058831672</c:v>
                </c:pt>
                <c:pt idx="155">
                  <c:v>41.51824341073722</c:v>
                </c:pt>
                <c:pt idx="156">
                  <c:v>42.115086223403338</c:v>
                </c:pt>
                <c:pt idx="157">
                  <c:v>42.718043734330003</c:v>
                </c:pt>
                <c:pt idx="158">
                  <c:v>43.326798191218018</c:v>
                </c:pt>
                <c:pt idx="159">
                  <c:v>43.941024456325778</c:v>
                </c:pt>
                <c:pt idx="160">
                  <c:v>44.560390660822257</c:v>
                </c:pt>
                <c:pt idx="161">
                  <c:v>45.184558906127847</c:v>
                </c:pt>
                <c:pt idx="162">
                  <c:v>45.813186008745127</c:v>
                </c:pt>
                <c:pt idx="163">
                  <c:v>46.445924284587193</c:v>
                </c:pt>
                <c:pt idx="164">
                  <c:v>47.082422368379106</c:v>
                </c:pt>
                <c:pt idx="165">
                  <c:v>47.722326063303179</c:v>
                </c:pt>
                <c:pt idx="166">
                  <c:v>48.365279215705733</c:v>
                </c:pt>
                <c:pt idx="167">
                  <c:v>49.01092460939222</c:v>
                </c:pt>
                <c:pt idx="168">
                  <c:v>49.658904873805838</c:v>
                </c:pt>
                <c:pt idx="169">
                  <c:v>50.308863400213561</c:v>
                </c:pt>
                <c:pt idx="170">
                  <c:v>50.960445259929841</c:v>
                </c:pt>
                <c:pt idx="171">
                  <c:v>51.613298118583572</c:v>
                </c:pt>
                <c:pt idx="172">
                  <c:v>52.26707314047713</c:v>
                </c:pt>
                <c:pt idx="173">
                  <c:v>52.921425877203276</c:v>
                </c:pt>
                <c:pt idx="174">
                  <c:v>53.576017134867577</c:v>
                </c:pt>
                <c:pt idx="175">
                  <c:v>54.230513814524336</c:v>
                </c:pt>
                <c:pt idx="176">
                  <c:v>54.884589720726197</c:v>
                </c:pt>
                <c:pt idx="177">
                  <c:v>55.537926333467553</c:v>
                </c:pt>
                <c:pt idx="178">
                  <c:v>56.190213539203583</c:v>
                </c:pt>
                <c:pt idx="179">
                  <c:v>56.841150317078473</c:v>
                </c:pt>
                <c:pt idx="180">
                  <c:v>57.490445376988312</c:v>
                </c:pt>
                <c:pt idx="181">
                  <c:v>58.137817746598273</c:v>
                </c:pt>
                <c:pt idx="182">
                  <c:v>58.782997304964283</c:v>
                </c:pt>
                <c:pt idx="183">
                  <c:v>59.425725260941064</c:v>
                </c:pt>
                <c:pt idx="184">
                  <c:v>60.065754575076689</c:v>
                </c:pt>
                <c:pt idx="185">
                  <c:v>60.702850324222247</c:v>
                </c:pt>
                <c:pt idx="186">
                  <c:v>61.336790008585758</c:v>
                </c:pt>
                <c:pt idx="187">
                  <c:v>61.967363801438417</c:v>
                </c:pt>
                <c:pt idx="188">
                  <c:v>62.594374742133482</c:v>
                </c:pt>
                <c:pt idx="189">
                  <c:v>63.217638873525196</c:v>
                </c:pt>
                <c:pt idx="190">
                  <c:v>63.836985325243866</c:v>
                </c:pt>
                <c:pt idx="191">
                  <c:v>64.452256344642265</c:v>
                </c:pt>
                <c:pt idx="192">
                  <c:v>65.063307277516429</c:v>
                </c:pt>
                <c:pt idx="193">
                  <c:v>65.670006500965798</c:v>
                </c:pt>
                <c:pt idx="194">
                  <c:v>66.272235310975205</c:v>
                </c:pt>
                <c:pt idx="195">
                  <c:v>66.869887767464476</c:v>
                </c:pt>
                <c:pt idx="196">
                  <c:v>67.462870499684627</c:v>
                </c:pt>
                <c:pt idx="197">
                  <c:v>68.051102474922999</c:v>
                </c:pt>
                <c:pt idx="198">
                  <c:v>68.634514733532967</c:v>
                </c:pt>
                <c:pt idx="199">
                  <c:v>69.213050093310045</c:v>
                </c:pt>
                <c:pt idx="200">
                  <c:v>69.786662826220748</c:v>
                </c:pt>
                <c:pt idx="201">
                  <c:v>70.355318310437497</c:v>
                </c:pt>
                <c:pt idx="202">
                  <c:v>70.918992660553755</c:v>
                </c:pt>
                <c:pt idx="203">
                  <c:v>71.47767233875534</c:v>
                </c:pt>
                <c:pt idx="204">
                  <c:v>72.031353749599461</c:v>
                </c:pt>
                <c:pt idx="205">
                  <c:v>72.580042820915949</c:v>
                </c:pt>
                <c:pt idx="206">
                  <c:v>73.123754573194532</c:v>
                </c:pt>
                <c:pt idx="207">
                  <c:v>73.662512679654228</c:v>
                </c:pt>
                <c:pt idx="208">
                  <c:v>74.196349019028219</c:v>
                </c:pt>
                <c:pt idx="209">
                  <c:v>74.725303222911464</c:v>
                </c:pt>
                <c:pt idx="210">
                  <c:v>75.249422219351686</c:v>
                </c:pt>
                <c:pt idx="211">
                  <c:v>75.768759774174413</c:v>
                </c:pt>
                <c:pt idx="212">
                  <c:v>76.28337603136103</c:v>
                </c:pt>
                <c:pt idx="213">
                  <c:v>76.793337053622992</c:v>
                </c:pt>
                <c:pt idx="214">
                  <c:v>77.298714364145937</c:v>
                </c:pt>
                <c:pt idx="215">
                  <c:v>77.799584490309357</c:v>
                </c:pt>
                <c:pt idx="216">
                  <c:v>78.296028510037701</c:v>
                </c:pt>
                <c:pt idx="217">
                  <c:v>78.78813160128179</c:v>
                </c:pt>
                <c:pt idx="218">
                  <c:v>79.275982594992712</c:v>
                </c:pt>
                <c:pt idx="219">
                  <c:v>79.759673531820582</c:v>
                </c:pt>
                <c:pt idx="220">
                  <c:v>80.239299222641478</c:v>
                </c:pt>
                <c:pt idx="221">
                  <c:v>80.714956812913826</c:v>
                </c:pt>
                <c:pt idx="222">
                  <c:v>81.186745350751465</c:v>
                </c:pt>
                <c:pt idx="223">
                  <c:v>81.654765358520123</c:v>
                </c:pt>
                <c:pt idx="224">
                  <c:v>82.119118407675856</c:v>
                </c:pt>
                <c:pt idx="225">
                  <c:v>82.579906696491776</c:v>
                </c:pt>
                <c:pt idx="226">
                  <c:v>83.037232630265478</c:v>
                </c:pt>
                <c:pt idx="227">
                  <c:v>83.491198403540125</c:v>
                </c:pt>
                <c:pt idx="228">
                  <c:v>83.941905583837254</c:v>
                </c:pt>
                <c:pt idx="229">
                  <c:v>84.38945469637099</c:v>
                </c:pt>
                <c:pt idx="230">
                  <c:v>84.833944809184658</c:v>
                </c:pt>
                <c:pt idx="231">
                  <c:v>85.275473118152007</c:v>
                </c:pt>
                <c:pt idx="232">
                  <c:v>85.714134531274723</c:v>
                </c:pt>
                <c:pt idx="233">
                  <c:v>86.150021251729569</c:v>
                </c:pt>
                <c:pt idx="234">
                  <c:v>86.583222359129394</c:v>
                </c:pt>
                <c:pt idx="235">
                  <c:v>87.013823388494743</c:v>
                </c:pt>
                <c:pt idx="236">
                  <c:v>87.4419059064832</c:v>
                </c:pt>
                <c:pt idx="237">
                  <c:v>87.867547084460128</c:v>
                </c:pt>
                <c:pt idx="238">
                  <c:v>88.290819268069271</c:v>
                </c:pt>
                <c:pt idx="239">
                  <c:v>88.711789543024295</c:v>
                </c:pt>
                <c:pt idx="240">
                  <c:v>89.130519296933073</c:v>
                </c:pt>
                <c:pt idx="241">
                  <c:v>89.547063777053836</c:v>
                </c:pt>
                <c:pt idx="242">
                  <c:v>89.961471643988261</c:v>
                </c:pt>
                <c:pt idx="243">
                  <c:v>90.373784521429982</c:v>
                </c:pt>
                <c:pt idx="244">
                  <c:v>90.784036542214182</c:v>
                </c:pt>
                <c:pt idx="245">
                  <c:v>91.192253891041858</c:v>
                </c:pt>
                <c:pt idx="246">
                  <c:v>91.598454344403152</c:v>
                </c:pt>
                <c:pt idx="247">
                  <c:v>92.002646808372617</c:v>
                </c:pt>
                <c:pt idx="248">
                  <c:v>92.404830855111712</c:v>
                </c:pt>
                <c:pt idx="249">
                  <c:v>92.804996259084575</c:v>
                </c:pt>
                <c:pt idx="250">
                  <c:v>93.203122534166383</c:v>
                </c:pt>
                <c:pt idx="251">
                  <c:v>93.599178473007882</c:v>
                </c:pt>
                <c:pt idx="252">
                  <c:v>93.993121690202599</c:v>
                </c:pt>
                <c:pt idx="253">
                  <c:v>94.384898170994688</c:v>
                </c:pt>
                <c:pt idx="254">
                  <c:v>94.774441827449465</c:v>
                </c:pt>
                <c:pt idx="255">
                  <c:v>95.161674064204419</c:v>
                </c:pt>
                <c:pt idx="256">
                  <c:v>95.54650335609125</c:v>
                </c:pt>
                <c:pt idx="257">
                  <c:v>95.928824840109598</c:v>
                </c:pt>
                <c:pt idx="258">
                  <c:v>96.308519924391973</c:v>
                </c:pt>
                <c:pt idx="259">
                  <c:v>96.685455916963306</c:v>
                </c:pt>
                <c:pt idx="260">
                  <c:v>97.059485677236651</c:v>
                </c:pt>
                <c:pt idx="261">
                  <c:v>97.430447293311644</c:v>
                </c:pt>
                <c:pt idx="262">
                  <c:v>97.798163788246228</c:v>
                </c:pt>
                <c:pt idx="263">
                  <c:v>98.162442858547877</c:v>
                </c:pt>
                <c:pt idx="264">
                  <c:v>98.523076648178431</c:v>
                </c:pt>
                <c:pt idx="265">
                  <c:v>98.879841561390236</c:v>
                </c:pt>
                <c:pt idx="266">
                  <c:v>99.23249811768811</c:v>
                </c:pt>
                <c:pt idx="267">
                  <c:v>99.580790852164995</c:v>
                </c:pt>
                <c:pt idx="268">
                  <c:v>99.924448264358787</c:v>
                </c:pt>
                <c:pt idx="269">
                  <c:v>100.2631828186545</c:v>
                </c:pt>
                <c:pt idx="270">
                  <c:v>100.59669099906711</c:v>
                </c:pt>
                <c:pt idx="271">
                  <c:v>100.92465342103608</c:v>
                </c:pt>
                <c:pt idx="272">
                  <c:v>101.24673500258089</c:v>
                </c:pt>
                <c:pt idx="273">
                  <c:v>101.56258519688419</c:v>
                </c:pt>
                <c:pt idx="274">
                  <c:v>101.87183828800268</c:v>
                </c:pt>
                <c:pt idx="275">
                  <c:v>102.17411375104169</c:v>
                </c:pt>
                <c:pt idx="276">
                  <c:v>102.46901667769231</c:v>
                </c:pt>
                <c:pt idx="277">
                  <c:v>102.75613826760022</c:v>
                </c:pt>
                <c:pt idx="278">
                  <c:v>103.03505638554839</c:v>
                </c:pt>
                <c:pt idx="279">
                  <c:v>103.30533618395096</c:v>
                </c:pt>
                <c:pt idx="280">
                  <c:v>103.56653078964671</c:v>
                </c:pt>
                <c:pt idx="281">
                  <c:v>103.81818205347652</c:v>
                </c:pt>
                <c:pt idx="282">
                  <c:v>104.05982136061502</c:v>
                </c:pt>
                <c:pt idx="283">
                  <c:v>104.29097049913625</c:v>
                </c:pt>
                <c:pt idx="284">
                  <c:v>104.51114258381024</c:v>
                </c:pt>
                <c:pt idx="285">
                  <c:v>104.7198430316853</c:v>
                </c:pt>
                <c:pt idx="286">
                  <c:v>104.91657058558232</c:v>
                </c:pt>
                <c:pt idx="287">
                  <c:v>105.10081838126679</c:v>
                </c:pt>
                <c:pt idx="288">
                  <c:v>105.2720750537259</c:v>
                </c:pt>
                <c:pt idx="289">
                  <c:v>105.42982587771887</c:v>
                </c:pt>
                <c:pt idx="290">
                  <c:v>105.57355393754553</c:v>
                </c:pt>
                <c:pt idx="291">
                  <c:v>105.70274132083503</c:v>
                </c:pt>
                <c:pt idx="292">
                  <c:v>105.816870331071</c:v>
                </c:pt>
                <c:pt idx="293">
                  <c:v>105.91542471354499</c:v>
                </c:pt>
                <c:pt idx="294">
                  <c:v>105.99789088948123</c:v>
                </c:pt>
                <c:pt idx="295">
                  <c:v>106.06375919317766</c:v>
                </c:pt>
                <c:pt idx="296">
                  <c:v>106.1125251071871</c:v>
                </c:pt>
                <c:pt idx="297">
                  <c:v>106.14369049077155</c:v>
                </c:pt>
                <c:pt idx="298">
                  <c:v>106.15676479714303</c:v>
                </c:pt>
                <c:pt idx="299">
                  <c:v>106.15126627532501</c:v>
                </c:pt>
                <c:pt idx="300">
                  <c:v>106.12672315280277</c:v>
                </c:pt>
                <c:pt idx="301">
                  <c:v>106.08267479552165</c:v>
                </c:pt>
                <c:pt idx="302">
                  <c:v>106.01867284217623</c:v>
                </c:pt>
                <c:pt idx="303">
                  <c:v>105.93428231014749</c:v>
                </c:pt>
                <c:pt idx="304">
                  <c:v>105.82908267082644</c:v>
                </c:pt>
                <c:pt idx="305">
                  <c:v>105.7026688924803</c:v>
                </c:pt>
                <c:pt idx="306">
                  <c:v>105.5546524491679</c:v>
                </c:pt>
                <c:pt idx="307">
                  <c:v>105.38466229457845</c:v>
                </c:pt>
                <c:pt idx="308">
                  <c:v>105.1923457999689</c:v>
                </c:pt>
                <c:pt idx="309">
                  <c:v>104.97736965565667</c:v>
                </c:pt>
                <c:pt idx="310">
                  <c:v>104.73942073575751</c:v>
                </c:pt>
                <c:pt idx="311">
                  <c:v>104.47820692603695</c:v>
                </c:pt>
                <c:pt idx="312">
                  <c:v>104.1934579148667</c:v>
                </c:pt>
                <c:pt idx="313">
                  <c:v>103.8849259473713</c:v>
                </c:pt>
                <c:pt idx="314">
                  <c:v>103.55238654284686</c:v>
                </c:pt>
                <c:pt idx="315">
                  <c:v>103.19563917552256</c:v>
                </c:pt>
                <c:pt idx="316">
                  <c:v>102.81450791862825</c:v>
                </c:pt>
                <c:pt idx="317">
                  <c:v>102.40884205161629</c:v>
                </c:pt>
                <c:pt idx="318">
                  <c:v>101.97851663018707</c:v>
                </c:pt>
                <c:pt idx="319">
                  <c:v>101.52343301855194</c:v>
                </c:pt>
                <c:pt idx="320">
                  <c:v>101.04351938310897</c:v>
                </c:pt>
                <c:pt idx="321">
                  <c:v>100.53873114641688</c:v>
                </c:pt>
                <c:pt idx="322">
                  <c:v>100.00905140005057</c:v>
                </c:pt>
                <c:pt idx="323">
                  <c:v>99.454491274587696</c:v>
                </c:pt>
                <c:pt idx="324">
                  <c:v>98.875090264662347</c:v>
                </c:pt>
                <c:pt idx="325">
                  <c:v>98.270916506689616</c:v>
                </c:pt>
                <c:pt idx="326">
                  <c:v>97.642067006552196</c:v>
                </c:pt>
                <c:pt idx="327">
                  <c:v>96.988667814260978</c:v>
                </c:pt>
                <c:pt idx="328">
                  <c:v>96.310874142321921</c:v>
                </c:pt>
                <c:pt idx="329">
                  <c:v>95.608870424345241</c:v>
                </c:pt>
                <c:pt idx="330">
                  <c:v>94.882870310232775</c:v>
                </c:pt>
                <c:pt idx="331">
                  <c:v>94.133116594180848</c:v>
                </c:pt>
                <c:pt idx="332">
                  <c:v>93.359881071670756</c:v>
                </c:pt>
                <c:pt idx="333">
                  <c:v>92.563464321615712</c:v>
                </c:pt>
                <c:pt idx="334">
                  <c:v>91.744195409947025</c:v>
                </c:pt>
                <c:pt idx="335">
                  <c:v>90.902431511048079</c:v>
                </c:pt>
                <c:pt idx="336">
                  <c:v>90.038557443720592</c:v>
                </c:pt>
                <c:pt idx="337">
                  <c:v>89.152985118653064</c:v>
                </c:pt>
                <c:pt idx="338">
                  <c:v>88.246152894799607</c:v>
                </c:pt>
                <c:pt idx="339">
                  <c:v>87.318524842542317</c:v>
                </c:pt>
                <c:pt idx="340">
                  <c:v>86.370589912070329</c:v>
                </c:pt>
                <c:pt idx="341">
                  <c:v>85.402861006054792</c:v>
                </c:pt>
                <c:pt idx="342">
                  <c:v>84.415873956378647</c:v>
                </c:pt>
                <c:pt idx="343">
                  <c:v>83.410186405453217</c:v>
                </c:pt>
                <c:pt idx="344">
                  <c:v>82.386376593441824</c:v>
                </c:pt>
                <c:pt idx="345">
                  <c:v>81.345042053558032</c:v>
                </c:pt>
                <c:pt idx="346">
                  <c:v>80.28679821847085</c:v>
                </c:pt>
                <c:pt idx="347">
                  <c:v>79.212276941722521</c:v>
                </c:pt>
                <c:pt idx="348">
                  <c:v>78.122124938936977</c:v>
                </c:pt>
                <c:pt idx="349">
                  <c:v>77.017002154464393</c:v>
                </c:pt>
                <c:pt idx="350">
                  <c:v>75.897580059926398</c:v>
                </c:pt>
                <c:pt idx="351">
                  <c:v>74.764539891909124</c:v>
                </c:pt>
                <c:pt idx="352">
                  <c:v>73.618570836783064</c:v>
                </c:pt>
                <c:pt idx="353">
                  <c:v>72.460368171281615</c:v>
                </c:pt>
                <c:pt idx="354">
                  <c:v>71.290631368013337</c:v>
                </c:pt>
                <c:pt idx="355">
                  <c:v>70.110062175615155</c:v>
                </c:pt>
                <c:pt idx="356">
                  <c:v>68.919362683552094</c:v>
                </c:pt>
                <c:pt idx="357">
                  <c:v>67.719233381895393</c:v>
                </c:pt>
                <c:pt idx="358">
                  <c:v>66.510371226516071</c:v>
                </c:pt>
                <c:pt idx="359">
                  <c:v>65.293467720172956</c:v>
                </c:pt>
                <c:pt idx="360">
                  <c:v>64.069207019874824</c:v>
                </c:pt>
                <c:pt idx="361">
                  <c:v>62.838264080701819</c:v>
                </c:pt>
                <c:pt idx="362">
                  <c:v>61.601302845914716</c:v>
                </c:pt>
                <c:pt idx="363">
                  <c:v>60.358974492775026</c:v>
                </c:pt>
                <c:pt idx="364">
                  <c:v>59.111915742937676</c:v>
                </c:pt>
                <c:pt idx="365">
                  <c:v>57.860747245674645</c:v>
                </c:pt>
                <c:pt idx="366">
                  <c:v>56.606072041434452</c:v>
                </c:pt>
                <c:pt idx="367">
                  <c:v>55.348474112507517</c:v>
                </c:pt>
                <c:pt idx="368">
                  <c:v>54.088517026684677</c:v>
                </c:pt>
                <c:pt idx="369">
                  <c:v>52.826742678944669</c:v>
                </c:pt>
                <c:pt idx="370">
                  <c:v>51.563670135267941</c:v>
                </c:pt>
                <c:pt idx="371">
                  <c:v>50.299794581760743</c:v>
                </c:pt>
                <c:pt idx="372">
                  <c:v>49.035586381329637</c:v>
                </c:pt>
                <c:pt idx="373">
                  <c:v>47.771490239234716</c:v>
                </c:pt>
                <c:pt idx="374">
                  <c:v>46.507924477937721</c:v>
                </c:pt>
                <c:pt idx="375">
                  <c:v>45.245280420811859</c:v>
                </c:pt>
                <c:pt idx="376">
                  <c:v>43.98392188344345</c:v>
                </c:pt>
                <c:pt idx="377">
                  <c:v>42.724184770502603</c:v>
                </c:pt>
                <c:pt idx="378">
                  <c:v>41.466376775443514</c:v>
                </c:pt>
                <c:pt idx="379">
                  <c:v>40.210777179663239</c:v>
                </c:pt>
                <c:pt idx="380">
                  <c:v>38.957636747171755</c:v>
                </c:pt>
                <c:pt idx="381">
                  <c:v>37.707177710343835</c:v>
                </c:pt>
                <c:pt idx="382">
                  <c:v>36.459593841897522</c:v>
                </c:pt>
                <c:pt idx="383">
                  <c:v>35.215050607905695</c:v>
                </c:pt>
                <c:pt idx="384">
                  <c:v>33.973685396393009</c:v>
                </c:pt>
                <c:pt idx="385">
                  <c:v>32.73560781586766</c:v>
                </c:pt>
                <c:pt idx="386">
                  <c:v>31.500900058036613</c:v>
                </c:pt>
                <c:pt idx="387">
                  <c:v>30.269617318886965</c:v>
                </c:pt>
                <c:pt idx="388">
                  <c:v>29.041788272349145</c:v>
                </c:pt>
                <c:pt idx="389">
                  <c:v>27.817415590820467</c:v>
                </c:pt>
                <c:pt idx="390">
                  <c:v>26.596476506963771</c:v>
                </c:pt>
                <c:pt idx="391">
                  <c:v>25.378923411371439</c:v>
                </c:pt>
                <c:pt idx="392">
                  <c:v>24.164684480906633</c:v>
                </c:pt>
                <c:pt idx="393">
                  <c:v>22.953664332803964</c:v>
                </c:pt>
                <c:pt idx="394">
                  <c:v>21.745744699889237</c:v>
                </c:pt>
                <c:pt idx="395">
                  <c:v>20.540785122618043</c:v>
                </c:pt>
                <c:pt idx="396">
                  <c:v>19.338623653970973</c:v>
                </c:pt>
                <c:pt idx="397">
                  <c:v>18.13907757360797</c:v>
                </c:pt>
                <c:pt idx="398">
                  <c:v>16.941944108069443</c:v>
                </c:pt>
                <c:pt idx="399">
                  <c:v>15.747001154200248</c:v>
                </c:pt>
                <c:pt idx="400">
                  <c:v>14.554008003382037</c:v>
                </c:pt>
                <c:pt idx="401">
                  <c:v>13.362706064555825</c:v>
                </c:pt>
                <c:pt idx="402">
                  <c:v>12.172819584438505</c:v>
                </c:pt>
                <c:pt idx="403">
                  <c:v>10.984056363744841</c:v>
                </c:pt>
                <c:pt idx="404">
                  <c:v>9.7961084686394742</c:v>
                </c:pt>
                <c:pt idx="405">
                  <c:v>8.6086529370643383</c:v>
                </c:pt>
                <c:pt idx="406">
                  <c:v>7.4213524799904507</c:v>
                </c:pt>
                <c:pt idx="407">
                  <c:v>6.2338561780626351</c:v>
                </c:pt>
                <c:pt idx="408">
                  <c:v>5.0458001745082273</c:v>
                </c:pt>
                <c:pt idx="409">
                  <c:v>3.8568083655948229</c:v>
                </c:pt>
                <c:pt idx="410">
                  <c:v>2.6664930903267616</c:v>
                </c:pt>
                <c:pt idx="411">
                  <c:v>1.4744558214758896</c:v>
                </c:pt>
                <c:pt idx="412">
                  <c:v>0.28028786044685994</c:v>
                </c:pt>
                <c:pt idx="413">
                  <c:v>-0.91642896111734606</c:v>
                </c:pt>
                <c:pt idx="414">
                  <c:v>-2.1161215696801357</c:v>
                </c:pt>
                <c:pt idx="415">
                  <c:v>-3.3192249243976453</c:v>
                </c:pt>
                <c:pt idx="416">
                  <c:v>-4.5261812738337177</c:v>
                </c:pt>
                <c:pt idx="417">
                  <c:v>-5.7374393902972969</c:v>
                </c:pt>
                <c:pt idx="418">
                  <c:v>-6.9534537768989981</c:v>
                </c:pt>
                <c:pt idx="419">
                  <c:v>-8.1746838420478323</c:v>
                </c:pt>
                <c:pt idx="420">
                  <c:v>-9.4015930357284319</c:v>
                </c:pt>
                <c:pt idx="421">
                  <c:v>-10.634647941547888</c:v>
                </c:pt>
                <c:pt idx="422">
                  <c:v>-11.874317318200852</c:v>
                </c:pt>
                <c:pt idx="423">
                  <c:v>-13.121071083710889</c:v>
                </c:pt>
                <c:pt idx="424">
                  <c:v>-14.375379235515187</c:v>
                </c:pt>
                <c:pt idx="425">
                  <c:v>-15.637710699268951</c:v>
                </c:pt>
                <c:pt idx="426">
                  <c:v>-16.908532099071447</c:v>
                </c:pt>
                <c:pt idx="427">
                  <c:v>-18.188306441732621</c:v>
                </c:pt>
                <c:pt idx="428">
                  <c:v>-19.47749170773012</c:v>
                </c:pt>
                <c:pt idx="429">
                  <c:v>-20.776539341613365</c:v>
                </c:pt>
                <c:pt idx="430">
                  <c:v>-22.085892634865587</c:v>
                </c:pt>
                <c:pt idx="431">
                  <c:v>-23.405984994662528</c:v>
                </c:pt>
                <c:pt idx="432">
                  <c:v>-24.73723809253757</c:v>
                </c:pt>
                <c:pt idx="433">
                  <c:v>-26.080059887784738</c:v>
                </c:pt>
                <c:pt idx="434">
                  <c:v>-27.434842521441713</c:v>
                </c:pt>
                <c:pt idx="435">
                  <c:v>-28.801960078010037</c:v>
                </c:pt>
                <c:pt idx="436">
                  <c:v>-30.18176621365124</c:v>
                </c:pt>
                <c:pt idx="437">
                  <c:v>-31.574591651497347</c:v>
                </c:pt>
                <c:pt idx="438">
                  <c:v>-32.980741546964886</c:v>
                </c:pt>
                <c:pt idx="439">
                  <c:v>-34.400492728554006</c:v>
                </c:pt>
                <c:pt idx="440">
                  <c:v>-35.834090822584152</c:v>
                </c:pt>
                <c:pt idx="441">
                  <c:v>-37.281747273664472</c:v>
                </c:pt>
                <c:pt idx="442">
                  <c:v>-38.743636276373216</c:v>
                </c:pt>
                <c:pt idx="443">
                  <c:v>-40.219891637679176</c:v>
                </c:pt>
                <c:pt idx="444">
                  <c:v>-41.710603593951468</c:v>
                </c:pt>
                <c:pt idx="445">
                  <c:v>-43.215815610974822</c:v>
                </c:pt>
                <c:pt idx="446">
                  <c:v>-44.735521200107492</c:v>
                </c:pt>
                <c:pt idx="447">
                  <c:v>-46.269660788487684</c:v>
                </c:pt>
                <c:pt idx="448">
                  <c:v>-47.818118685874843</c:v>
                </c:pt>
                <c:pt idx="449">
                  <c:v>-49.380720195177368</c:v>
                </c:pt>
                <c:pt idx="450">
                  <c:v>-50.957228917749696</c:v>
                </c:pt>
                <c:pt idx="451">
                  <c:v>-52.547344307981817</c:v>
                </c:pt>
                <c:pt idx="452">
                  <c:v>-54.150699534326222</c:v>
                </c:pt>
                <c:pt idx="453">
                  <c:v>-55.766859705493722</c:v>
                </c:pt>
                <c:pt idx="454">
                  <c:v>-57.395320520880468</c:v>
                </c:pt>
                <c:pt idx="455">
                  <c:v>-59.035507403185377</c:v>
                </c:pt>
                <c:pt idx="456">
                  <c:v>-60.686775168418094</c:v>
                </c:pt>
                <c:pt idx="457">
                  <c:v>-62.348408284010851</c:v>
                </c:pt>
                <c:pt idx="458">
                  <c:v>-64.019621759359495</c:v>
                </c:pt>
                <c:pt idx="459">
                  <c:v>-65.699562704907081</c:v>
                </c:pt>
                <c:pt idx="460">
                  <c:v>-67.387312585830955</c:v>
                </c:pt>
                <c:pt idx="461">
                  <c:v>-69.081890184681455</c:v>
                </c:pt>
                <c:pt idx="462">
                  <c:v>-70.782255274180599</c:v>
                </c:pt>
                <c:pt idx="463">
                  <c:v>-72.487312987131702</c:v>
                </c:pt>
                <c:pt idx="464">
                  <c:v>-74.19591885542863</c:v>
                </c:pt>
                <c:pt idx="465">
                  <c:v>-75.906884474960478</c:v>
                </c:pt>
                <c:pt idx="466">
                  <c:v>-77.618983738314469</c:v>
                </c:pt>
                <c:pt idx="467">
                  <c:v>-79.330959563101359</c:v>
                </c:pt>
                <c:pt idx="468">
                  <c:v>-81.041531031066725</c:v>
                </c:pt>
                <c:pt idx="469">
                  <c:v>-82.749400842362164</c:v>
                </c:pt>
                <c:pt idx="470">
                  <c:v>-84.45326298092786</c:v>
                </c:pt>
                <c:pt idx="471">
                  <c:v>-86.151810481218163</c:v>
                </c:pt>
                <c:pt idx="472">
                  <c:v>-87.843743183738653</c:v>
                </c:pt>
                <c:pt idx="473">
                  <c:v>-89.527775367203077</c:v>
                </c:pt>
                <c:pt idx="474">
                  <c:v>-91.202643148496492</c:v>
                </c:pt>
                <c:pt idx="475">
                  <c:v>-92.867111547948284</c:v>
                </c:pt>
                <c:pt idx="476">
                  <c:v>-94.519981126382788</c:v>
                </c:pt>
                <c:pt idx="477">
                  <c:v>-96.16009411162554</c:v>
                </c:pt>
                <c:pt idx="478">
                  <c:v>-97.786339945169061</c:v>
                </c:pt>
                <c:pt idx="479">
                  <c:v>-99.397660193992607</c:v>
                </c:pt>
                <c:pt idx="480">
                  <c:v>-100.99305278754814</c:v>
                </c:pt>
                <c:pt idx="481">
                  <c:v>-102.57157555512281</c:v>
                </c:pt>
                <c:pt idx="482">
                  <c:v>-104.13234905366082</c:v>
                </c:pt>
                <c:pt idx="483">
                  <c:v>-105.67455869018522</c:v>
                </c:pt>
                <c:pt idx="484">
                  <c:v>-107.19745615586187</c:v>
                </c:pt>
                <c:pt idx="485">
                  <c:v>-108.70036020013157</c:v>
                </c:pt>
                <c:pt idx="486">
                  <c:v>-110.18265678304481</c:v>
                </c:pt>
                <c:pt idx="487">
                  <c:v>-111.64379865178863</c:v>
                </c:pt>
                <c:pt idx="488">
                  <c:v>-113.08330439338538</c:v>
                </c:pt>
                <c:pt idx="489">
                  <c:v>-114.50075701970971</c:v>
                </c:pt>
                <c:pt idx="490">
                  <c:v>-115.89580214336267</c:v>
                </c:pt>
                <c:pt idx="491">
                  <c:v>-117.268145803777</c:v>
                </c:pt>
                <c:pt idx="492">
                  <c:v>-118.61755200231849</c:v>
                </c:pt>
                <c:pt idx="493">
                  <c:v>-119.9438400033642</c:v>
                </c:pt>
                <c:pt idx="494">
                  <c:v>-121.24688145553431</c:v>
                </c:pt>
                <c:pt idx="495">
                  <c:v>-122.52659738371608</c:v>
                </c:pt>
                <c:pt idx="496">
                  <c:v>-123.78295509837351</c:v>
                </c:pt>
                <c:pt idx="497">
                  <c:v>-125.01596506416507</c:v>
                </c:pt>
                <c:pt idx="498">
                  <c:v>-126.22567776517705</c:v>
                </c:pt>
                <c:pt idx="499">
                  <c:v>-127.41218059934251</c:v>
                </c:pt>
                <c:pt idx="500">
                  <c:v>-128.57559482994893</c:v>
                </c:pt>
                <c:pt idx="501">
                  <c:v>-129.71607261762006</c:v>
                </c:pt>
                <c:pt idx="502">
                  <c:v>-130.83379415192277</c:v>
                </c:pt>
                <c:pt idx="503">
                  <c:v>-131.92896489779457</c:v>
                </c:pt>
                <c:pt idx="504">
                  <c:v>-133.00181296838775</c:v>
                </c:pt>
                <c:pt idx="505">
                  <c:v>-134.05258663269129</c:v>
                </c:pt>
                <c:pt idx="506">
                  <c:v>-135.08155196341184</c:v>
                </c:pt>
                <c:pt idx="507">
                  <c:v>-136.0889906281013</c:v>
                </c:pt>
                <c:pt idx="508">
                  <c:v>-137.07519782436546</c:v>
                </c:pt>
                <c:pt idx="509">
                  <c:v>-138.04048035816731</c:v>
                </c:pt>
                <c:pt idx="510">
                  <c:v>-138.98515486273459</c:v>
                </c:pt>
                <c:pt idx="511">
                  <c:v>-139.90954615436294</c:v>
                </c:pt>
                <c:pt idx="512">
                  <c:v>-140.81398572042517</c:v>
                </c:pt>
                <c:pt idx="513">
                  <c:v>-141.69881033417221</c:v>
                </c:pt>
                <c:pt idx="514">
                  <c:v>-142.56436079035589</c:v>
                </c:pt>
                <c:pt idx="515">
                  <c:v>-143.41098075534092</c:v>
                </c:pt>
                <c:pt idx="516">
                  <c:v>-144.23901572515342</c:v>
                </c:pt>
                <c:pt idx="517">
                  <c:v>-145.04881208480683</c:v>
                </c:pt>
                <c:pt idx="518">
                  <c:v>-145.8407162622608</c:v>
                </c:pt>
                <c:pt idx="519">
                  <c:v>-146.61507397044878</c:v>
                </c:pt>
                <c:pt idx="520">
                  <c:v>-147.37222953097231</c:v>
                </c:pt>
                <c:pt idx="521">
                  <c:v>-148.11252527326479</c:v>
                </c:pt>
                <c:pt idx="522">
                  <c:v>-148.83630100327272</c:v>
                </c:pt>
                <c:pt idx="523">
                  <c:v>-149.54389353598447</c:v>
                </c:pt>
                <c:pt idx="524">
                  <c:v>-150.2356362864289</c:v>
                </c:pt>
                <c:pt idx="525">
                  <c:v>-150.91185891406889</c:v>
                </c:pt>
                <c:pt idx="526">
                  <c:v>-151.57288701583389</c:v>
                </c:pt>
                <c:pt idx="527">
                  <c:v>-152.21904186334191</c:v>
                </c:pt>
                <c:pt idx="528">
                  <c:v>-152.85064018016701</c:v>
                </c:pt>
                <c:pt idx="529">
                  <c:v>-153.4679939553213</c:v>
                </c:pt>
                <c:pt idx="530">
                  <c:v>-154.07141028938005</c:v>
                </c:pt>
                <c:pt idx="531">
                  <c:v>-154.66119126999646</c:v>
                </c:pt>
                <c:pt idx="532">
                  <c:v>-155.23763387377491</c:v>
                </c:pt>
                <c:pt idx="533">
                  <c:v>-155.80102989175646</c:v>
                </c:pt>
                <c:pt idx="534">
                  <c:v>-156.35166587597828</c:v>
                </c:pt>
                <c:pt idx="535">
                  <c:v>-156.88982310480569</c:v>
                </c:pt>
                <c:pt idx="536">
                  <c:v>-157.41577756493359</c:v>
                </c:pt>
                <c:pt idx="537">
                  <c:v>-157.92979994814812</c:v>
                </c:pt>
                <c:pt idx="538">
                  <c:v>-158.43215566111297</c:v>
                </c:pt>
                <c:pt idx="539">
                  <c:v>-158.92310484661061</c:v>
                </c:pt>
                <c:pt idx="540">
                  <c:v>-159.40290241481978</c:v>
                </c:pt>
                <c:pt idx="541">
                  <c:v>-159.8717980833471</c:v>
                </c:pt>
              </c:numCache>
            </c:numRef>
          </c:yVal>
          <c:smooth val="1"/>
          <c:extLst>
            <c:ext xmlns:c16="http://schemas.microsoft.com/office/drawing/2014/chart" uri="{C3380CC4-5D6E-409C-BE32-E72D297353CC}">
              <c16:uniqueId val="{00000001-8173-45EB-83AD-B179A66292B6}"/>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27.424993977551054</c:v>
                </c:pt>
                <c:pt idx="2">
                  <c:v>42.8805960352393</c:v>
                </c:pt>
                <c:pt idx="3">
                  <c:v>52.795737676346924</c:v>
                </c:pt>
                <c:pt idx="4">
                  <c:v>59.694393716566616</c:v>
                </c:pt>
                <c:pt idx="5">
                  <c:v>64.769575408915699</c:v>
                </c:pt>
                <c:pt idx="6">
                  <c:v>68.658461829425391</c:v>
                </c:pt>
                <c:pt idx="7">
                  <c:v>71.732336560431449</c:v>
                </c:pt>
                <c:pt idx="8">
                  <c:v>74.222183009443413</c:v>
                </c:pt>
                <c:pt idx="9">
                  <c:v>76.279234799984621</c:v>
                </c:pt>
                <c:pt idx="10">
                  <c:v>78.006659208204482</c:v>
                </c:pt>
                <c:pt idx="11">
                  <c:v>79.477247597241757</c:v>
                </c:pt>
                <c:pt idx="12">
                  <c:v>80.743828535848877</c:v>
                </c:pt>
                <c:pt idx="13">
                  <c:v>81.845672121166018</c:v>
                </c:pt>
                <c:pt idx="14">
                  <c:v>82.812577449188041</c:v>
                </c:pt>
                <c:pt idx="15">
                  <c:v>83.667565472988485</c:v>
                </c:pt>
                <c:pt idx="16">
                  <c:v>84.428702514900664</c:v>
                </c:pt>
                <c:pt idx="17">
                  <c:v>85.110365144735894</c:v>
                </c:pt>
                <c:pt idx="18">
                  <c:v>85.724136385689334</c:v>
                </c:pt>
                <c:pt idx="19">
                  <c:v>86.279452805849687</c:v>
                </c:pt>
                <c:pt idx="20">
                  <c:v>86.784079704496136</c:v>
                </c:pt>
                <c:pt idx="21">
                  <c:v>87.244465413566957</c:v>
                </c:pt>
                <c:pt idx="22">
                  <c:v>87.666009132840259</c:v>
                </c:pt>
                <c:pt idx="23">
                  <c:v>88.053265955438292</c:v>
                </c:pt>
                <c:pt idx="24">
                  <c:v>88.410105621590944</c:v>
                </c:pt>
                <c:pt idx="25">
                  <c:v>88.739836742453477</c:v>
                </c:pt>
                <c:pt idx="26">
                  <c:v>89.045304949678439</c:v>
                </c:pt>
                <c:pt idx="27">
                  <c:v>89.328971139990372</c:v>
                </c:pt>
                <c:pt idx="28">
                  <c:v>89.592974370366534</c:v>
                </c:pt>
                <c:pt idx="29">
                  <c:v>89.839182805576797</c:v>
                </c:pt>
                <c:pt idx="30">
                  <c:v>90.069235284676452</c:v>
                </c:pt>
                <c:pt idx="31">
                  <c:v>90.28457546168552</c:v>
                </c:pt>
                <c:pt idx="32">
                  <c:v>90.486480023420796</c:v>
                </c:pt>
                <c:pt idx="33">
                  <c:v>90.676082149563328</c:v>
                </c:pt>
                <c:pt idx="34">
                  <c:v>90.854391125278937</c:v>
                </c:pt>
                <c:pt idx="35">
                  <c:v>91.022308822950023</c:v>
                </c:pt>
                <c:pt idx="36">
                  <c:v>91.180643621011299</c:v>
                </c:pt>
                <c:pt idx="37">
                  <c:v>91.330122213093432</c:v>
                </c:pt>
                <c:pt idx="38">
                  <c:v>91.471399671345495</c:v>
                </c:pt>
                <c:pt idx="39">
                  <c:v>91.605068057807443</c:v>
                </c:pt>
                <c:pt idx="40">
                  <c:v>91.731663822497381</c:v>
                </c:pt>
                <c:pt idx="41">
                  <c:v>91.851674183072788</c:v>
                </c:pt>
                <c:pt idx="42">
                  <c:v>91.965542645960156</c:v>
                </c:pt>
                <c:pt idx="43">
                  <c:v>92.073673800787887</c:v>
                </c:pt>
                <c:pt idx="44">
                  <c:v>92.176437497316627</c:v>
                </c:pt>
                <c:pt idx="45">
                  <c:v>92.274172495704505</c:v>
                </c:pt>
                <c:pt idx="46">
                  <c:v>92.367189665986828</c:v>
                </c:pt>
                <c:pt idx="47">
                  <c:v>92.455774800408065</c:v>
                </c:pt>
                <c:pt idx="48">
                  <c:v>92.540191092179612</c:v>
                </c:pt>
                <c:pt idx="49">
                  <c:v>92.620681325928246</c:v>
                </c:pt>
                <c:pt idx="50">
                  <c:v>92.697469818214245</c:v>
                </c:pt>
                <c:pt idx="51">
                  <c:v>92.770764140768193</c:v>
                </c:pt>
                <c:pt idx="52">
                  <c:v>92.84075665431051</c:v>
                </c:pt>
                <c:pt idx="53">
                  <c:v>92.907625876807231</c:v>
                </c:pt>
                <c:pt idx="54">
                  <c:v>92.9715377066439</c:v>
                </c:pt>
                <c:pt idx="55">
                  <c:v>93.03264651835299</c:v>
                </c:pt>
                <c:pt idx="56">
                  <c:v>93.091096146122908</c:v>
                </c:pt>
                <c:pt idx="57">
                  <c:v>93.147020768271858</c:v>
                </c:pt>
                <c:pt idx="58">
                  <c:v>93.200545704128885</c:v>
                </c:pt>
                <c:pt idx="59">
                  <c:v>93.251788133278168</c:v>
                </c:pt>
                <c:pt idx="60">
                  <c:v>93.300857745850195</c:v>
                </c:pt>
                <c:pt idx="61">
                  <c:v>93.347857331450669</c:v>
                </c:pt>
                <c:pt idx="62">
                  <c:v>93.392883313377567</c:v>
                </c:pt>
                <c:pt idx="63">
                  <c:v>93.436026233966246</c:v>
                </c:pt>
                <c:pt idx="64">
                  <c:v>93.477371196200039</c:v>
                </c:pt>
                <c:pt idx="65">
                  <c:v>93.516998266116218</c:v>
                </c:pt>
                <c:pt idx="66">
                  <c:v>93.554982840008606</c:v>
                </c:pt>
                <c:pt idx="67">
                  <c:v>93.591395979968226</c:v>
                </c:pt>
                <c:pt idx="68">
                  <c:v>93.626304720901686</c:v>
                </c:pt>
                <c:pt idx="69">
                  <c:v>93.659772351816713</c:v>
                </c:pt>
                <c:pt idx="70">
                  <c:v>93.691858673856103</c:v>
                </c:pt>
                <c:pt idx="71">
                  <c:v>93.722620237292261</c:v>
                </c:pt>
                <c:pt idx="72">
                  <c:v>93.75211055945671</c:v>
                </c:pt>
                <c:pt idx="73">
                  <c:v>93.780380325370245</c:v>
                </c:pt>
                <c:pt idx="74">
                  <c:v>93.80747757265506</c:v>
                </c:pt>
                <c:pt idx="75">
                  <c:v>93.833447862146713</c:v>
                </c:pt>
                <c:pt idx="76">
                  <c:v>93.858334435479946</c:v>
                </c:pt>
                <c:pt idx="77">
                  <c:v>93.882178360793958</c:v>
                </c:pt>
                <c:pt idx="78">
                  <c:v>93.905018667589204</c:v>
                </c:pt>
                <c:pt idx="79">
                  <c:v>93.926892471666392</c:v>
                </c:pt>
                <c:pt idx="80">
                  <c:v>93.94783509098859</c:v>
                </c:pt>
                <c:pt idx="81">
                  <c:v>93.967880153226162</c:v>
                </c:pt>
                <c:pt idx="82">
                  <c:v>93.987059695673324</c:v>
                </c:pt>
                <c:pt idx="83">
                  <c:v>94.005404258159828</c:v>
                </c:pt>
                <c:pt idx="84">
                  <c:v>94.022942969524422</c:v>
                </c:pt>
                <c:pt idx="85">
                  <c:v>94.039703628164375</c:v>
                </c:pt>
                <c:pt idx="86">
                  <c:v>94.055712777129216</c:v>
                </c:pt>
                <c:pt idx="87">
                  <c:v>94.070995774185334</c:v>
                </c:pt>
                <c:pt idx="88">
                  <c:v>94.085576857239445</c:v>
                </c:pt>
                <c:pt idx="89">
                  <c:v>94.0994792054762</c:v>
                </c:pt>
                <c:pt idx="90">
                  <c:v>94.112724996533771</c:v>
                </c:pt>
                <c:pt idx="91">
                  <c:v>94.125335460013687</c:v>
                </c:pt>
                <c:pt idx="92">
                  <c:v>94.137330927596295</c:v>
                </c:pt>
                <c:pt idx="93">
                  <c:v>94.14873088001049</c:v>
                </c:pt>
                <c:pt idx="94">
                  <c:v>94.159553991085517</c:v>
                </c:pt>
                <c:pt idx="95">
                  <c:v>94.169818169094412</c:v>
                </c:pt>
                <c:pt idx="96">
                  <c:v>94.179540595581088</c:v>
                </c:pt>
                <c:pt idx="97">
                  <c:v>94.188737761848216</c:v>
                </c:pt>
                <c:pt idx="98">
                  <c:v>94.197425503268519</c:v>
                </c:pt>
                <c:pt idx="99">
                  <c:v>94.205619031569483</c:v>
                </c:pt>
                <c:pt idx="100">
                  <c:v>94.213332965229895</c:v>
                </c:pt>
                <c:pt idx="101">
                  <c:v>94.22058135811568</c:v>
                </c:pt>
                <c:pt idx="102">
                  <c:v>94.227377726472881</c:v>
                </c:pt>
                <c:pt idx="103">
                  <c:v>94.233735074386743</c:v>
                </c:pt>
                <c:pt idx="104">
                  <c:v>94.239665917807685</c:v>
                </c:pt>
                <c:pt idx="105">
                  <c:v>94.245182307237272</c:v>
                </c:pt>
                <c:pt idx="106">
                  <c:v>94.250295849160764</c:v>
                </c:pt>
                <c:pt idx="107">
                  <c:v>94.255017726306065</c:v>
                </c:pt>
                <c:pt idx="108">
                  <c:v>94.259358716803504</c:v>
                </c:pt>
                <c:pt idx="109">
                  <c:v>94.263329212315568</c:v>
                </c:pt>
                <c:pt idx="110">
                  <c:v>94.266939235200212</c:v>
                </c:pt>
                <c:pt idx="111">
                  <c:v>94.270198454767581</c:v>
                </c:pt>
                <c:pt idx="112">
                  <c:v>94.273116202685699</c:v>
                </c:pt>
                <c:pt idx="113">
                  <c:v>94.27570148758619</c:v>
                </c:pt>
                <c:pt idx="114">
                  <c:v>94.277963008918377</c:v>
                </c:pt>
                <c:pt idx="115">
                  <c:v>94.279909170096687</c:v>
                </c:pt>
                <c:pt idx="116">
                  <c:v>94.281548090982497</c:v>
                </c:pt>
                <c:pt idx="117">
                  <c:v>94.282887619739924</c:v>
                </c:pt>
                <c:pt idx="118">
                  <c:v>94.283935344101749</c:v>
                </c:pt>
                <c:pt idx="119">
                  <c:v>94.284698602079231</c:v>
                </c:pt>
                <c:pt idx="120">
                  <c:v>94.285184492147792</c:v>
                </c:pt>
                <c:pt idx="121">
                  <c:v>94.28539988293825</c:v>
                </c:pt>
                <c:pt idx="122">
                  <c:v>94.285351422461289</c:v>
                </c:pt>
                <c:pt idx="123">
                  <c:v>94.285045546891126</c:v>
                </c:pt>
                <c:pt idx="124">
                  <c:v>94.284488488932993</c:v>
                </c:pt>
                <c:pt idx="125">
                  <c:v>94.283686285797089</c:v>
                </c:pt>
                <c:pt idx="126">
                  <c:v>94.282644786800233</c:v>
                </c:pt>
                <c:pt idx="127">
                  <c:v>94.281369660616022</c:v>
                </c:pt>
                <c:pt idx="128">
                  <c:v>94.279866402191232</c:v>
                </c:pt>
                <c:pt idx="129">
                  <c:v>94.278140339347502</c:v>
                </c:pt>
                <c:pt idx="130">
                  <c:v>94.27619663908375</c:v>
                </c:pt>
                <c:pt idx="131">
                  <c:v>94.274040313595776</c:v>
                </c:pt>
                <c:pt idx="132">
                  <c:v>94.271676226027495</c:v>
                </c:pt>
                <c:pt idx="133">
                  <c:v>94.269109095967579</c:v>
                </c:pt>
                <c:pt idx="134">
                  <c:v>94.266343504704608</c:v>
                </c:pt>
                <c:pt idx="135">
                  <c:v>94.263383900253231</c:v>
                </c:pt>
                <c:pt idx="136">
                  <c:v>94.260234602162527</c:v>
                </c:pt>
                <c:pt idx="137">
                  <c:v>94.256899806117815</c:v>
                </c:pt>
                <c:pt idx="138">
                  <c:v>94.253383588345912</c:v>
                </c:pt>
                <c:pt idx="139">
                  <c:v>94.249689909833918</c:v>
                </c:pt>
                <c:pt idx="140">
                  <c:v>94.245822620370305</c:v>
                </c:pt>
                <c:pt idx="141">
                  <c:v>94.24178546241717</c:v>
                </c:pt>
                <c:pt idx="142">
                  <c:v>94.237582074821873</c:v>
                </c:pt>
                <c:pt idx="143">
                  <c:v>94.233215996375691</c:v>
                </c:pt>
                <c:pt idx="144">
                  <c:v>94.228690669226594</c:v>
                </c:pt>
                <c:pt idx="145">
                  <c:v>94.224009442153758</c:v>
                </c:pt>
                <c:pt idx="146">
                  <c:v>94.219175573709293</c:v>
                </c:pt>
                <c:pt idx="147">
                  <c:v>94.214192235234307</c:v>
                </c:pt>
                <c:pt idx="148">
                  <c:v>94.209062513754731</c:v>
                </c:pt>
                <c:pt idx="149">
                  <c:v>94.203789414762454</c:v>
                </c:pt>
                <c:pt idx="150">
                  <c:v>94.198375864887169</c:v>
                </c:pt>
              </c:numCache>
            </c:numRef>
          </c:yVal>
          <c:smooth val="0"/>
          <c:extLst>
            <c:ext xmlns:c16="http://schemas.microsoft.com/office/drawing/2014/chart" uri="{C3380CC4-5D6E-409C-BE32-E72D297353CC}">
              <c16:uniqueId val="{00000000-50A0-4BAE-A18F-D1A285C4A90E}"/>
            </c:ext>
          </c:extLst>
        </c:ser>
        <c:dLbls>
          <c:showLegendKey val="0"/>
          <c:showVal val="0"/>
          <c:showCatName val="0"/>
          <c:showSerName val="0"/>
          <c:showPercent val="0"/>
          <c:showBubbleSize val="0"/>
        </c:dLbls>
        <c:axId val="555642880"/>
        <c:axId val="555644416"/>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4.3728822073005456E-2</c:v>
                </c:pt>
                <c:pt idx="2">
                  <c:v>7.8711746261094909E-2</c:v>
                </c:pt>
                <c:pt idx="3">
                  <c:v>0.11393519937480419</c:v>
                </c:pt>
                <c:pt idx="4">
                  <c:v>0.14939918141413333</c:v>
                </c:pt>
                <c:pt idx="5">
                  <c:v>0.18510369237908231</c:v>
                </c:pt>
                <c:pt idx="6">
                  <c:v>0.22104873226965108</c:v>
                </c:pt>
                <c:pt idx="7">
                  <c:v>0.25723430108583978</c:v>
                </c:pt>
                <c:pt idx="8">
                  <c:v>0.29366039882764816</c:v>
                </c:pt>
                <c:pt idx="9">
                  <c:v>0.33032702549507642</c:v>
                </c:pt>
                <c:pt idx="10">
                  <c:v>0.36723418108812461</c:v>
                </c:pt>
                <c:pt idx="11">
                  <c:v>0.40438186560679262</c:v>
                </c:pt>
                <c:pt idx="12">
                  <c:v>0.44177007905108034</c:v>
                </c:pt>
                <c:pt idx="13">
                  <c:v>0.479398821420988</c:v>
                </c:pt>
                <c:pt idx="14">
                  <c:v>0.51726809271651564</c:v>
                </c:pt>
                <c:pt idx="15">
                  <c:v>0.55537789293766271</c:v>
                </c:pt>
                <c:pt idx="16">
                  <c:v>0.59372822208442988</c:v>
                </c:pt>
                <c:pt idx="17">
                  <c:v>0.63231908015681704</c:v>
                </c:pt>
                <c:pt idx="18">
                  <c:v>0.67115046715482363</c:v>
                </c:pt>
                <c:pt idx="19">
                  <c:v>0.71022238307845043</c:v>
                </c:pt>
                <c:pt idx="20">
                  <c:v>0.74953482792769688</c:v>
                </c:pt>
                <c:pt idx="21">
                  <c:v>0.7890878017025631</c:v>
                </c:pt>
                <c:pt idx="22">
                  <c:v>0.82888130440304941</c:v>
                </c:pt>
                <c:pt idx="23">
                  <c:v>0.86891533602915527</c:v>
                </c:pt>
                <c:pt idx="24">
                  <c:v>0.90918989658088112</c:v>
                </c:pt>
                <c:pt idx="25">
                  <c:v>0.94970498605822673</c:v>
                </c:pt>
                <c:pt idx="26">
                  <c:v>0.99046060446119233</c:v>
                </c:pt>
                <c:pt idx="27">
                  <c:v>1.0314567517897777</c:v>
                </c:pt>
                <c:pt idx="28">
                  <c:v>1.072693428043983</c:v>
                </c:pt>
                <c:pt idx="29">
                  <c:v>1.1141706332238077</c:v>
                </c:pt>
                <c:pt idx="30">
                  <c:v>1.1558883673292526</c:v>
                </c:pt>
                <c:pt idx="31">
                  <c:v>1.1978466303603172</c:v>
                </c:pt>
                <c:pt idx="32">
                  <c:v>1.2400454223170017</c:v>
                </c:pt>
                <c:pt idx="33">
                  <c:v>1.2824847431993061</c:v>
                </c:pt>
                <c:pt idx="34">
                  <c:v>1.3251645930072304</c:v>
                </c:pt>
                <c:pt idx="35">
                  <c:v>1.3680849717407744</c:v>
                </c:pt>
                <c:pt idx="36">
                  <c:v>1.4112458793999378</c:v>
                </c:pt>
                <c:pt idx="37">
                  <c:v>1.4546473159847215</c:v>
                </c:pt>
                <c:pt idx="38">
                  <c:v>1.4982892814951254</c:v>
                </c:pt>
                <c:pt idx="39">
                  <c:v>1.5421717759311486</c:v>
                </c:pt>
                <c:pt idx="40">
                  <c:v>1.5862947992927918</c:v>
                </c:pt>
                <c:pt idx="41">
                  <c:v>1.6306583515800548</c:v>
                </c:pt>
                <c:pt idx="42">
                  <c:v>1.6752624327929373</c:v>
                </c:pt>
                <c:pt idx="43">
                  <c:v>1.72010704293144</c:v>
                </c:pt>
                <c:pt idx="44">
                  <c:v>1.7651921819955629</c:v>
                </c:pt>
                <c:pt idx="45">
                  <c:v>1.8105178499853047</c:v>
                </c:pt>
                <c:pt idx="46">
                  <c:v>1.8560840469006674</c:v>
                </c:pt>
                <c:pt idx="47">
                  <c:v>1.9018907727416496</c:v>
                </c:pt>
                <c:pt idx="48">
                  <c:v>1.947938027508251</c:v>
                </c:pt>
                <c:pt idx="49">
                  <c:v>1.9942258112004727</c:v>
                </c:pt>
                <c:pt idx="50">
                  <c:v>2.040754123818314</c:v>
                </c:pt>
                <c:pt idx="51">
                  <c:v>2.0875229653617762</c:v>
                </c:pt>
                <c:pt idx="52">
                  <c:v>2.134532335830857</c:v>
                </c:pt>
                <c:pt idx="53">
                  <c:v>2.1817822352255578</c:v>
                </c:pt>
                <c:pt idx="54">
                  <c:v>2.2292726635458791</c:v>
                </c:pt>
                <c:pt idx="55">
                  <c:v>2.2770036207918194</c:v>
                </c:pt>
                <c:pt idx="56">
                  <c:v>2.3249751069633806</c:v>
                </c:pt>
                <c:pt idx="57">
                  <c:v>2.3731871220605609</c:v>
                </c:pt>
                <c:pt idx="58">
                  <c:v>2.4216396660833603</c:v>
                </c:pt>
                <c:pt idx="59">
                  <c:v>2.4703327390317802</c:v>
                </c:pt>
                <c:pt idx="60">
                  <c:v>2.5192663409058205</c:v>
                </c:pt>
                <c:pt idx="61">
                  <c:v>2.5684404717054798</c:v>
                </c:pt>
                <c:pt idx="62">
                  <c:v>2.6178551314307597</c:v>
                </c:pt>
                <c:pt idx="63">
                  <c:v>2.6675103200816594</c:v>
                </c:pt>
                <c:pt idx="64">
                  <c:v>2.7174060376581783</c:v>
                </c:pt>
                <c:pt idx="65">
                  <c:v>2.7675422841603172</c:v>
                </c:pt>
                <c:pt idx="66">
                  <c:v>2.8179190595880761</c:v>
                </c:pt>
                <c:pt idx="67">
                  <c:v>2.8685363639414545</c:v>
                </c:pt>
                <c:pt idx="68">
                  <c:v>2.9193941972204538</c:v>
                </c:pt>
                <c:pt idx="69">
                  <c:v>2.9704925594250726</c:v>
                </c:pt>
                <c:pt idx="70">
                  <c:v>3.0218314505553105</c:v>
                </c:pt>
                <c:pt idx="71">
                  <c:v>3.073410870611168</c:v>
                </c:pt>
                <c:pt idx="72">
                  <c:v>3.1252308195926455</c:v>
                </c:pt>
                <c:pt idx="73">
                  <c:v>3.1772912974997434</c:v>
                </c:pt>
                <c:pt idx="74">
                  <c:v>3.2295923043324608</c:v>
                </c:pt>
                <c:pt idx="75">
                  <c:v>3.2821338400907987</c:v>
                </c:pt>
                <c:pt idx="76">
                  <c:v>3.3349159047747565</c:v>
                </c:pt>
                <c:pt idx="77">
                  <c:v>3.387938498384333</c:v>
                </c:pt>
                <c:pt idx="78">
                  <c:v>3.4412016209195304</c:v>
                </c:pt>
                <c:pt idx="79">
                  <c:v>3.4947052723803465</c:v>
                </c:pt>
                <c:pt idx="80">
                  <c:v>3.5484494527667838</c:v>
                </c:pt>
                <c:pt idx="81">
                  <c:v>3.6024341620788394</c:v>
                </c:pt>
                <c:pt idx="82">
                  <c:v>3.6566594003165163</c:v>
                </c:pt>
                <c:pt idx="83">
                  <c:v>3.7111251674798122</c:v>
                </c:pt>
                <c:pt idx="84">
                  <c:v>3.7658314635687269</c:v>
                </c:pt>
                <c:pt idx="85">
                  <c:v>3.8207782885832633</c:v>
                </c:pt>
                <c:pt idx="86">
                  <c:v>3.8759656425234188</c:v>
                </c:pt>
                <c:pt idx="87">
                  <c:v>3.9313935253891943</c:v>
                </c:pt>
                <c:pt idx="88">
                  <c:v>3.9870619371805902</c:v>
                </c:pt>
                <c:pt idx="89">
                  <c:v>4.0429708778976057</c:v>
                </c:pt>
                <c:pt idx="90">
                  <c:v>4.0991203475402394</c:v>
                </c:pt>
                <c:pt idx="91">
                  <c:v>4.1555103461084943</c:v>
                </c:pt>
                <c:pt idx="92">
                  <c:v>4.2121408736023689</c:v>
                </c:pt>
                <c:pt idx="93">
                  <c:v>4.269011930021863</c:v>
                </c:pt>
                <c:pt idx="94">
                  <c:v>4.3261235153669784</c:v>
                </c:pt>
                <c:pt idx="95">
                  <c:v>4.3834756296377124</c:v>
                </c:pt>
                <c:pt idx="96">
                  <c:v>4.441068272834066</c:v>
                </c:pt>
                <c:pt idx="97">
                  <c:v>4.4989014449560392</c:v>
                </c:pt>
                <c:pt idx="98">
                  <c:v>4.5569751460036327</c:v>
                </c:pt>
                <c:pt idx="99">
                  <c:v>4.6152893759768459</c:v>
                </c:pt>
                <c:pt idx="100">
                  <c:v>4.6738441348756794</c:v>
                </c:pt>
                <c:pt idx="101">
                  <c:v>4.7326394227001334</c:v>
                </c:pt>
                <c:pt idx="102">
                  <c:v>4.791675239450206</c:v>
                </c:pt>
                <c:pt idx="103">
                  <c:v>4.8509515851258982</c:v>
                </c:pt>
                <c:pt idx="104">
                  <c:v>4.9104684597272108</c:v>
                </c:pt>
                <c:pt idx="105">
                  <c:v>4.9702258632541438</c:v>
                </c:pt>
                <c:pt idx="106">
                  <c:v>5.0302237957066955</c:v>
                </c:pt>
                <c:pt idx="107">
                  <c:v>5.0904622570848677</c:v>
                </c:pt>
                <c:pt idx="108">
                  <c:v>5.1509412473886602</c:v>
                </c:pt>
                <c:pt idx="109">
                  <c:v>5.2116607666180723</c:v>
                </c:pt>
                <c:pt idx="110">
                  <c:v>5.2726208147731031</c:v>
                </c:pt>
                <c:pt idx="111">
                  <c:v>5.3338213918537551</c:v>
                </c:pt>
                <c:pt idx="112">
                  <c:v>5.3952624978600277</c:v>
                </c:pt>
                <c:pt idx="113">
                  <c:v>5.456944132791917</c:v>
                </c:pt>
                <c:pt idx="114">
                  <c:v>5.5188662966494295</c:v>
                </c:pt>
                <c:pt idx="115">
                  <c:v>5.5810289894325598</c:v>
                </c:pt>
                <c:pt idx="116">
                  <c:v>5.6434322111413078</c:v>
                </c:pt>
                <c:pt idx="117">
                  <c:v>5.7060759617756789</c:v>
                </c:pt>
                <c:pt idx="118">
                  <c:v>5.7689602413356695</c:v>
                </c:pt>
                <c:pt idx="119">
                  <c:v>5.8320850498212806</c:v>
                </c:pt>
                <c:pt idx="120">
                  <c:v>5.8954503872325104</c:v>
                </c:pt>
                <c:pt idx="121">
                  <c:v>5.9590562535693579</c:v>
                </c:pt>
                <c:pt idx="122">
                  <c:v>6.0229026488318294</c:v>
                </c:pt>
                <c:pt idx="123">
                  <c:v>6.0869895730199177</c:v>
                </c:pt>
                <c:pt idx="124">
                  <c:v>6.1513170261336283</c:v>
                </c:pt>
                <c:pt idx="125">
                  <c:v>6.2158850081729566</c:v>
                </c:pt>
                <c:pt idx="126">
                  <c:v>6.2806935191379072</c:v>
                </c:pt>
                <c:pt idx="127">
                  <c:v>6.3457425590284764</c:v>
                </c:pt>
                <c:pt idx="128">
                  <c:v>6.4110321278446634</c:v>
                </c:pt>
                <c:pt idx="129">
                  <c:v>6.4765622255864734</c:v>
                </c:pt>
                <c:pt idx="130">
                  <c:v>6.5423328522538995</c:v>
                </c:pt>
                <c:pt idx="131">
                  <c:v>6.6083440078469478</c:v>
                </c:pt>
                <c:pt idx="132">
                  <c:v>6.6745956923656165</c:v>
                </c:pt>
                <c:pt idx="133">
                  <c:v>6.7410879058099038</c:v>
                </c:pt>
                <c:pt idx="134">
                  <c:v>6.8078206481798116</c:v>
                </c:pt>
                <c:pt idx="135">
                  <c:v>6.8747939194753389</c:v>
                </c:pt>
                <c:pt idx="136">
                  <c:v>6.9420077196964876</c:v>
                </c:pt>
                <c:pt idx="137">
                  <c:v>7.009462048843254</c:v>
                </c:pt>
                <c:pt idx="138">
                  <c:v>7.0771569069156417</c:v>
                </c:pt>
                <c:pt idx="139">
                  <c:v>7.145092293913649</c:v>
                </c:pt>
                <c:pt idx="140">
                  <c:v>7.2132682098372758</c:v>
                </c:pt>
                <c:pt idx="141">
                  <c:v>7.2816846546865222</c:v>
                </c:pt>
                <c:pt idx="142">
                  <c:v>7.3503416284613863</c:v>
                </c:pt>
                <c:pt idx="143">
                  <c:v>7.4192391311618735</c:v>
                </c:pt>
                <c:pt idx="144">
                  <c:v>7.4883771627879785</c:v>
                </c:pt>
                <c:pt idx="145">
                  <c:v>7.5577557233397048</c:v>
                </c:pt>
                <c:pt idx="146">
                  <c:v>7.6273748128170507</c:v>
                </c:pt>
                <c:pt idx="147">
                  <c:v>7.697234431220016</c:v>
                </c:pt>
                <c:pt idx="148">
                  <c:v>7.767334578548601</c:v>
                </c:pt>
                <c:pt idx="149">
                  <c:v>7.8376752548028064</c:v>
                </c:pt>
                <c:pt idx="150">
                  <c:v>7.9082564599826313</c:v>
                </c:pt>
              </c:numCache>
            </c:numRef>
          </c:yVal>
          <c:smooth val="1"/>
          <c:extLst>
            <c:ext xmlns:c16="http://schemas.microsoft.com/office/drawing/2014/chart" uri="{C3380CC4-5D6E-409C-BE32-E72D297353CC}">
              <c16:uniqueId val="{00000001-50A0-4BAE-A18F-D1A285C4A90E}"/>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2.4176791697319411</c:v>
                </c:pt>
                <c:pt idx="1">
                  <c:v>2.4200448424592138</c:v>
                </c:pt>
                <c:pt idx="2">
                  <c:v>2.4224727697319413</c:v>
                </c:pt>
                <c:pt idx="3">
                  <c:v>2.424962951550123</c:v>
                </c:pt>
                <c:pt idx="4">
                  <c:v>2.427515387913759</c:v>
                </c:pt>
                <c:pt idx="5">
                  <c:v>2.4301300788228501</c:v>
                </c:pt>
                <c:pt idx="6">
                  <c:v>2.4328070242773956</c:v>
                </c:pt>
                <c:pt idx="7">
                  <c:v>2.4355462242773958</c:v>
                </c:pt>
                <c:pt idx="8">
                  <c:v>2.4383476788228502</c:v>
                </c:pt>
                <c:pt idx="9">
                  <c:v>2.4412113879137589</c:v>
                </c:pt>
                <c:pt idx="10">
                  <c:v>2.4441373515501232</c:v>
                </c:pt>
                <c:pt idx="11">
                  <c:v>2.4471255697319414</c:v>
                </c:pt>
                <c:pt idx="12">
                  <c:v>2.4501760424592138</c:v>
                </c:pt>
                <c:pt idx="13">
                  <c:v>2.453288769731941</c:v>
                </c:pt>
                <c:pt idx="14">
                  <c:v>2.4564637515501229</c:v>
                </c:pt>
                <c:pt idx="15">
                  <c:v>2.4597009879137595</c:v>
                </c:pt>
                <c:pt idx="16">
                  <c:v>2.4630004788228503</c:v>
                </c:pt>
                <c:pt idx="17">
                  <c:v>2.4663622242773955</c:v>
                </c:pt>
                <c:pt idx="18">
                  <c:v>2.4697862242773954</c:v>
                </c:pt>
                <c:pt idx="19">
                  <c:v>2.47327247882285</c:v>
                </c:pt>
                <c:pt idx="20">
                  <c:v>2.4768209879137588</c:v>
                </c:pt>
                <c:pt idx="21">
                  <c:v>2.4804317515501229</c:v>
                </c:pt>
                <c:pt idx="22">
                  <c:v>2.4841047697319412</c:v>
                </c:pt>
                <c:pt idx="23">
                  <c:v>2.4878400424592138</c:v>
                </c:pt>
                <c:pt idx="24">
                  <c:v>2.4916375697319411</c:v>
                </c:pt>
                <c:pt idx="25">
                  <c:v>2.4954973515501226</c:v>
                </c:pt>
                <c:pt idx="26">
                  <c:v>2.4994193879137594</c:v>
                </c:pt>
                <c:pt idx="27">
                  <c:v>2.5034036788228504</c:v>
                </c:pt>
                <c:pt idx="28">
                  <c:v>2.5074502242773957</c:v>
                </c:pt>
                <c:pt idx="29">
                  <c:v>2.5115590242773953</c:v>
                </c:pt>
                <c:pt idx="30">
                  <c:v>2.51573007882285</c:v>
                </c:pt>
                <c:pt idx="31">
                  <c:v>2.5199633879137595</c:v>
                </c:pt>
                <c:pt idx="32">
                  <c:v>2.5242589515501228</c:v>
                </c:pt>
                <c:pt idx="33">
                  <c:v>2.5286167697319413</c:v>
                </c:pt>
                <c:pt idx="34">
                  <c:v>2.5330368424592136</c:v>
                </c:pt>
                <c:pt idx="35">
                  <c:v>2.537519169731941</c:v>
                </c:pt>
                <c:pt idx="36">
                  <c:v>2.5420637515501232</c:v>
                </c:pt>
                <c:pt idx="37">
                  <c:v>2.5466705879137592</c:v>
                </c:pt>
                <c:pt idx="38">
                  <c:v>2.55133967882285</c:v>
                </c:pt>
                <c:pt idx="39">
                  <c:v>2.5560710242773954</c:v>
                </c:pt>
                <c:pt idx="40">
                  <c:v>2.5608646242773956</c:v>
                </c:pt>
                <c:pt idx="41">
                  <c:v>2.5657204788228505</c:v>
                </c:pt>
                <c:pt idx="42">
                  <c:v>2.5706385879137592</c:v>
                </c:pt>
                <c:pt idx="43">
                  <c:v>2.5756189515501227</c:v>
                </c:pt>
                <c:pt idx="44">
                  <c:v>2.5806615697319408</c:v>
                </c:pt>
                <c:pt idx="45">
                  <c:v>2.5857664424592137</c:v>
                </c:pt>
                <c:pt idx="46">
                  <c:v>2.5909335697319413</c:v>
                </c:pt>
                <c:pt idx="47">
                  <c:v>2.5961629515501228</c:v>
                </c:pt>
                <c:pt idx="48">
                  <c:v>2.6014545879137594</c:v>
                </c:pt>
                <c:pt idx="49">
                  <c:v>2.6068084788228503</c:v>
                </c:pt>
                <c:pt idx="50">
                  <c:v>2.6122246242773954</c:v>
                </c:pt>
                <c:pt idx="51">
                  <c:v>2.6177030242773958</c:v>
                </c:pt>
                <c:pt idx="52">
                  <c:v>2.6232436788228504</c:v>
                </c:pt>
                <c:pt idx="53">
                  <c:v>2.6288465879137592</c:v>
                </c:pt>
                <c:pt idx="54">
                  <c:v>2.6345117515501228</c:v>
                </c:pt>
                <c:pt idx="55">
                  <c:v>2.6402391697319407</c:v>
                </c:pt>
                <c:pt idx="56">
                  <c:v>2.6460288424592142</c:v>
                </c:pt>
                <c:pt idx="57">
                  <c:v>2.6518807697319411</c:v>
                </c:pt>
                <c:pt idx="58">
                  <c:v>2.6577949515501231</c:v>
                </c:pt>
                <c:pt idx="59">
                  <c:v>2.663771387913759</c:v>
                </c:pt>
                <c:pt idx="60">
                  <c:v>2.66981007882285</c:v>
                </c:pt>
                <c:pt idx="61">
                  <c:v>2.6759110242773958</c:v>
                </c:pt>
                <c:pt idx="62">
                  <c:v>2.6820742242773958</c:v>
                </c:pt>
                <c:pt idx="63">
                  <c:v>2.6882996788228501</c:v>
                </c:pt>
                <c:pt idx="64">
                  <c:v>2.6945873879137592</c:v>
                </c:pt>
                <c:pt idx="65">
                  <c:v>2.7009373515501229</c:v>
                </c:pt>
                <c:pt idx="66">
                  <c:v>2.7073495697319414</c:v>
                </c:pt>
                <c:pt idx="67">
                  <c:v>2.7138240424592137</c:v>
                </c:pt>
                <c:pt idx="68">
                  <c:v>2.7203607697319412</c:v>
                </c:pt>
                <c:pt idx="69">
                  <c:v>2.7269597515501229</c:v>
                </c:pt>
                <c:pt idx="70">
                  <c:v>2.733620987913759</c:v>
                </c:pt>
                <c:pt idx="71">
                  <c:v>2.7403444788228501</c:v>
                </c:pt>
                <c:pt idx="72">
                  <c:v>2.7471302242773956</c:v>
                </c:pt>
                <c:pt idx="73">
                  <c:v>2.7539782242773958</c:v>
                </c:pt>
                <c:pt idx="74">
                  <c:v>2.7608884788228498</c:v>
                </c:pt>
                <c:pt idx="75">
                  <c:v>2.767860987913759</c:v>
                </c:pt>
                <c:pt idx="76">
                  <c:v>2.7748957515501234</c:v>
                </c:pt>
                <c:pt idx="77">
                  <c:v>2.7819927697319411</c:v>
                </c:pt>
                <c:pt idx="78">
                  <c:v>2.789152042459214</c:v>
                </c:pt>
                <c:pt idx="79">
                  <c:v>2.7963735697319412</c:v>
                </c:pt>
                <c:pt idx="80">
                  <c:v>2.8036573515501226</c:v>
                </c:pt>
                <c:pt idx="81">
                  <c:v>2.8110033879137593</c:v>
                </c:pt>
                <c:pt idx="82">
                  <c:v>2.8184116788228506</c:v>
                </c:pt>
                <c:pt idx="83">
                  <c:v>2.8258822242773958</c:v>
                </c:pt>
                <c:pt idx="84">
                  <c:v>2.8334150242773952</c:v>
                </c:pt>
                <c:pt idx="85">
                  <c:v>2.8410100788228498</c:v>
                </c:pt>
                <c:pt idx="86">
                  <c:v>2.8486673879137596</c:v>
                </c:pt>
                <c:pt idx="87">
                  <c:v>2.8563869515501232</c:v>
                </c:pt>
                <c:pt idx="88">
                  <c:v>2.8641687697319411</c:v>
                </c:pt>
                <c:pt idx="89">
                  <c:v>2.8720128424592137</c:v>
                </c:pt>
                <c:pt idx="90">
                  <c:v>2.8799191697319411</c:v>
                </c:pt>
                <c:pt idx="91">
                  <c:v>2.8878877515501227</c:v>
                </c:pt>
                <c:pt idx="92">
                  <c:v>2.8959185879137594</c:v>
                </c:pt>
                <c:pt idx="93">
                  <c:v>2.9040116788228501</c:v>
                </c:pt>
                <c:pt idx="94">
                  <c:v>2.9121670242773958</c:v>
                </c:pt>
                <c:pt idx="95">
                  <c:v>2.9203846242773954</c:v>
                </c:pt>
                <c:pt idx="96">
                  <c:v>2.9286644788228502</c:v>
                </c:pt>
                <c:pt idx="97">
                  <c:v>2.9370065879137597</c:v>
                </c:pt>
                <c:pt idx="98">
                  <c:v>2.945410951550123</c:v>
                </c:pt>
                <c:pt idx="99">
                  <c:v>2.953877569731941</c:v>
                </c:pt>
                <c:pt idx="100">
                  <c:v>2.9624064424592138</c:v>
                </c:pt>
                <c:pt idx="101">
                  <c:v>2.9709975697319413</c:v>
                </c:pt>
                <c:pt idx="102">
                  <c:v>2.9796509515501231</c:v>
                </c:pt>
                <c:pt idx="103">
                  <c:v>2.9883665879137595</c:v>
                </c:pt>
                <c:pt idx="104">
                  <c:v>2.9971444788228503</c:v>
                </c:pt>
                <c:pt idx="105">
                  <c:v>3.0059846242773953</c:v>
                </c:pt>
                <c:pt idx="106">
                  <c:v>3.0148870242773955</c:v>
                </c:pt>
                <c:pt idx="107">
                  <c:v>3.0238516788228504</c:v>
                </c:pt>
                <c:pt idx="108">
                  <c:v>3.0328785879137592</c:v>
                </c:pt>
                <c:pt idx="109">
                  <c:v>3.0419677515501227</c:v>
                </c:pt>
                <c:pt idx="110">
                  <c:v>3.0511191697319409</c:v>
                </c:pt>
                <c:pt idx="111">
                  <c:v>3.0603328424592142</c:v>
                </c:pt>
                <c:pt idx="112">
                  <c:v>3.0696087697319414</c:v>
                </c:pt>
                <c:pt idx="113">
                  <c:v>3.0789469515501229</c:v>
                </c:pt>
                <c:pt idx="114">
                  <c:v>3.0883473879137595</c:v>
                </c:pt>
                <c:pt idx="115">
                  <c:v>3.09781007882285</c:v>
                </c:pt>
                <c:pt idx="116">
                  <c:v>3.1073350242773956</c:v>
                </c:pt>
                <c:pt idx="117">
                  <c:v>3.116922224277396</c:v>
                </c:pt>
                <c:pt idx="118">
                  <c:v>3.1265716788228501</c:v>
                </c:pt>
                <c:pt idx="119">
                  <c:v>3.1362833879137595</c:v>
                </c:pt>
                <c:pt idx="120">
                  <c:v>3.1460573515501227</c:v>
                </c:pt>
                <c:pt idx="121">
                  <c:v>3.155893569731941</c:v>
                </c:pt>
                <c:pt idx="122">
                  <c:v>3.1657920424592141</c:v>
                </c:pt>
                <c:pt idx="123">
                  <c:v>3.175752769731941</c:v>
                </c:pt>
                <c:pt idx="124">
                  <c:v>3.185775751550123</c:v>
                </c:pt>
                <c:pt idx="125">
                  <c:v>3.1958609879137589</c:v>
                </c:pt>
                <c:pt idx="126">
                  <c:v>3.20600847882285</c:v>
                </c:pt>
                <c:pt idx="127">
                  <c:v>3.2162182242773962</c:v>
                </c:pt>
                <c:pt idx="128">
                  <c:v>3.2264902242773958</c:v>
                </c:pt>
                <c:pt idx="129">
                  <c:v>3.2368244788228502</c:v>
                </c:pt>
                <c:pt idx="130">
                  <c:v>3.2472209879137592</c:v>
                </c:pt>
                <c:pt idx="131">
                  <c:v>3.257679751550123</c:v>
                </c:pt>
                <c:pt idx="132">
                  <c:v>3.2682007697319415</c:v>
                </c:pt>
                <c:pt idx="133">
                  <c:v>3.2787840424592138</c:v>
                </c:pt>
                <c:pt idx="134">
                  <c:v>3.2894295697319413</c:v>
                </c:pt>
                <c:pt idx="135">
                  <c:v>3.3001373515501227</c:v>
                </c:pt>
                <c:pt idx="136">
                  <c:v>3.3109073879137592</c:v>
                </c:pt>
                <c:pt idx="137">
                  <c:v>3.3217396788228504</c:v>
                </c:pt>
                <c:pt idx="138">
                  <c:v>3.3326342242773959</c:v>
                </c:pt>
                <c:pt idx="139">
                  <c:v>3.3435910242773956</c:v>
                </c:pt>
                <c:pt idx="140">
                  <c:v>3.3546100788228501</c:v>
                </c:pt>
                <c:pt idx="141">
                  <c:v>3.3656913879137593</c:v>
                </c:pt>
                <c:pt idx="142">
                  <c:v>3.3768349515501228</c:v>
                </c:pt>
                <c:pt idx="143">
                  <c:v>3.388040769731941</c:v>
                </c:pt>
                <c:pt idx="144">
                  <c:v>3.3993088424592135</c:v>
                </c:pt>
                <c:pt idx="145">
                  <c:v>3.4106391697319411</c:v>
                </c:pt>
                <c:pt idx="146">
                  <c:v>3.4220317515501226</c:v>
                </c:pt>
                <c:pt idx="147">
                  <c:v>3.4334865879137588</c:v>
                </c:pt>
                <c:pt idx="148">
                  <c:v>3.4450036788228502</c:v>
                </c:pt>
                <c:pt idx="149">
                  <c:v>3.4565830242773958</c:v>
                </c:pt>
                <c:pt idx="150">
                  <c:v>3.4682246242773958</c:v>
                </c:pt>
              </c:numCache>
            </c:numRef>
          </c:yVal>
          <c:smooth val="1"/>
          <c:extLst>
            <c:ext xmlns:c16="http://schemas.microsoft.com/office/drawing/2014/chart" uri="{C3380CC4-5D6E-409C-BE32-E72D297353CC}">
              <c16:uniqueId val="{00000002-50A0-4BAE-A18F-D1A285C4A90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50A0-4BAE-A18F-D1A285C4A90E}"/>
            </c:ext>
          </c:extLst>
        </c:ser>
        <c:dLbls>
          <c:showLegendKey val="0"/>
          <c:showVal val="0"/>
          <c:showCatName val="0"/>
          <c:showSerName val="0"/>
          <c:showPercent val="0"/>
          <c:showBubbleSize val="0"/>
        </c:dLbls>
        <c:axId val="555656704"/>
        <c:axId val="555646336"/>
      </c:scatterChart>
      <c:valAx>
        <c:axId val="555642880"/>
        <c:scaling>
          <c:orientation val="minMax"/>
        </c:scaling>
        <c:delete val="0"/>
        <c:axPos val="b"/>
        <c:majorGridlines/>
        <c:numFmt formatCode="General" sourceLinked="1"/>
        <c:majorTickMark val="out"/>
        <c:minorTickMark val="none"/>
        <c:tickLblPos val="nextTo"/>
        <c:crossAx val="555644416"/>
        <c:crosses val="autoZero"/>
        <c:crossBetween val="midCat"/>
      </c:valAx>
      <c:valAx>
        <c:axId val="55564441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55642880"/>
        <c:crosses val="autoZero"/>
        <c:crossBetween val="midCat"/>
      </c:valAx>
      <c:valAx>
        <c:axId val="55564633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55656704"/>
        <c:crosses val="max"/>
        <c:crossBetween val="midCat"/>
      </c:valAx>
      <c:valAx>
        <c:axId val="55565670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5564633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27.424993977551054</c:v>
                </c:pt>
                <c:pt idx="2">
                  <c:v>42.8805960352393</c:v>
                </c:pt>
                <c:pt idx="3">
                  <c:v>52.795737676346924</c:v>
                </c:pt>
                <c:pt idx="4">
                  <c:v>59.694393716566616</c:v>
                </c:pt>
                <c:pt idx="5">
                  <c:v>64.769575408915699</c:v>
                </c:pt>
                <c:pt idx="6">
                  <c:v>68.658461829425391</c:v>
                </c:pt>
                <c:pt idx="7">
                  <c:v>71.732336560431449</c:v>
                </c:pt>
                <c:pt idx="8">
                  <c:v>74.222183009443413</c:v>
                </c:pt>
                <c:pt idx="9">
                  <c:v>76.279234799984621</c:v>
                </c:pt>
                <c:pt idx="10">
                  <c:v>78.006659208204482</c:v>
                </c:pt>
                <c:pt idx="11">
                  <c:v>79.477247597241757</c:v>
                </c:pt>
                <c:pt idx="12">
                  <c:v>80.743828535848877</c:v>
                </c:pt>
                <c:pt idx="13">
                  <c:v>81.845672121166018</c:v>
                </c:pt>
                <c:pt idx="14">
                  <c:v>82.812577449188041</c:v>
                </c:pt>
                <c:pt idx="15">
                  <c:v>83.667565472988485</c:v>
                </c:pt>
                <c:pt idx="16">
                  <c:v>84.428702514900664</c:v>
                </c:pt>
                <c:pt idx="17">
                  <c:v>85.110365144735894</c:v>
                </c:pt>
                <c:pt idx="18">
                  <c:v>85.724136385689334</c:v>
                </c:pt>
                <c:pt idx="19">
                  <c:v>86.279452805849687</c:v>
                </c:pt>
                <c:pt idx="20">
                  <c:v>86.784079704496136</c:v>
                </c:pt>
                <c:pt idx="21">
                  <c:v>87.244465413566957</c:v>
                </c:pt>
                <c:pt idx="22">
                  <c:v>87.666009132840259</c:v>
                </c:pt>
                <c:pt idx="23">
                  <c:v>88.053265955438292</c:v>
                </c:pt>
                <c:pt idx="24">
                  <c:v>88.410105621590944</c:v>
                </c:pt>
                <c:pt idx="25">
                  <c:v>88.739836742453477</c:v>
                </c:pt>
                <c:pt idx="26">
                  <c:v>89.045304949678439</c:v>
                </c:pt>
                <c:pt idx="27">
                  <c:v>89.328971139990372</c:v>
                </c:pt>
                <c:pt idx="28">
                  <c:v>89.592974370366534</c:v>
                </c:pt>
                <c:pt idx="29">
                  <c:v>89.839182805576797</c:v>
                </c:pt>
                <c:pt idx="30">
                  <c:v>90.069235284676452</c:v>
                </c:pt>
                <c:pt idx="31">
                  <c:v>90.28457546168552</c:v>
                </c:pt>
                <c:pt idx="32">
                  <c:v>90.486480023420796</c:v>
                </c:pt>
                <c:pt idx="33">
                  <c:v>90.676082149563328</c:v>
                </c:pt>
                <c:pt idx="34">
                  <c:v>90.854391125278937</c:v>
                </c:pt>
                <c:pt idx="35">
                  <c:v>91.022308822950023</c:v>
                </c:pt>
                <c:pt idx="36">
                  <c:v>91.180643621011299</c:v>
                </c:pt>
                <c:pt idx="37">
                  <c:v>91.330122213093432</c:v>
                </c:pt>
                <c:pt idx="38">
                  <c:v>91.471399671345495</c:v>
                </c:pt>
                <c:pt idx="39">
                  <c:v>91.605068057807443</c:v>
                </c:pt>
                <c:pt idx="40">
                  <c:v>91.731663822497381</c:v>
                </c:pt>
                <c:pt idx="41">
                  <c:v>91.851674183072788</c:v>
                </c:pt>
                <c:pt idx="42">
                  <c:v>91.965542645960156</c:v>
                </c:pt>
                <c:pt idx="43">
                  <c:v>92.073673800787887</c:v>
                </c:pt>
                <c:pt idx="44">
                  <c:v>92.176437497316627</c:v>
                </c:pt>
                <c:pt idx="45">
                  <c:v>92.274172495704505</c:v>
                </c:pt>
                <c:pt idx="46">
                  <c:v>92.367189665986828</c:v>
                </c:pt>
                <c:pt idx="47">
                  <c:v>92.455774800408065</c:v>
                </c:pt>
                <c:pt idx="48">
                  <c:v>92.540191092179612</c:v>
                </c:pt>
                <c:pt idx="49">
                  <c:v>92.620681325928246</c:v>
                </c:pt>
                <c:pt idx="50">
                  <c:v>92.697469818214245</c:v>
                </c:pt>
                <c:pt idx="51">
                  <c:v>92.770764140768193</c:v>
                </c:pt>
                <c:pt idx="52">
                  <c:v>92.84075665431051</c:v>
                </c:pt>
                <c:pt idx="53">
                  <c:v>92.907625876807231</c:v>
                </c:pt>
                <c:pt idx="54">
                  <c:v>92.9715377066439</c:v>
                </c:pt>
                <c:pt idx="55">
                  <c:v>93.03264651835299</c:v>
                </c:pt>
                <c:pt idx="56">
                  <c:v>93.091096146122908</c:v>
                </c:pt>
                <c:pt idx="57">
                  <c:v>93.147020768271858</c:v>
                </c:pt>
                <c:pt idx="58">
                  <c:v>93.200545704128885</c:v>
                </c:pt>
                <c:pt idx="59">
                  <c:v>93.251788133278168</c:v>
                </c:pt>
                <c:pt idx="60">
                  <c:v>93.300857745850195</c:v>
                </c:pt>
                <c:pt idx="61">
                  <c:v>93.347857331450669</c:v>
                </c:pt>
                <c:pt idx="62">
                  <c:v>93.392883313377567</c:v>
                </c:pt>
                <c:pt idx="63">
                  <c:v>93.436026233966246</c:v>
                </c:pt>
                <c:pt idx="64">
                  <c:v>93.477371196200039</c:v>
                </c:pt>
                <c:pt idx="65">
                  <c:v>93.516998266116218</c:v>
                </c:pt>
                <c:pt idx="66">
                  <c:v>93.554982840008606</c:v>
                </c:pt>
                <c:pt idx="67">
                  <c:v>93.591395979968226</c:v>
                </c:pt>
                <c:pt idx="68">
                  <c:v>93.626304720901686</c:v>
                </c:pt>
                <c:pt idx="69">
                  <c:v>93.659772351816713</c:v>
                </c:pt>
                <c:pt idx="70">
                  <c:v>93.691858673856103</c:v>
                </c:pt>
                <c:pt idx="71">
                  <c:v>93.722620237292261</c:v>
                </c:pt>
                <c:pt idx="72">
                  <c:v>93.75211055945671</c:v>
                </c:pt>
                <c:pt idx="73">
                  <c:v>93.780380325370245</c:v>
                </c:pt>
                <c:pt idx="74">
                  <c:v>93.80747757265506</c:v>
                </c:pt>
                <c:pt idx="75">
                  <c:v>93.833447862146713</c:v>
                </c:pt>
                <c:pt idx="76">
                  <c:v>93.858334435479946</c:v>
                </c:pt>
                <c:pt idx="77">
                  <c:v>93.882178360793958</c:v>
                </c:pt>
                <c:pt idx="78">
                  <c:v>93.905018667589204</c:v>
                </c:pt>
                <c:pt idx="79">
                  <c:v>93.926892471666392</c:v>
                </c:pt>
                <c:pt idx="80">
                  <c:v>93.94783509098859</c:v>
                </c:pt>
                <c:pt idx="81">
                  <c:v>93.967880153226162</c:v>
                </c:pt>
                <c:pt idx="82">
                  <c:v>93.987059695673324</c:v>
                </c:pt>
                <c:pt idx="83">
                  <c:v>94.005404258159828</c:v>
                </c:pt>
                <c:pt idx="84">
                  <c:v>94.022942969524422</c:v>
                </c:pt>
                <c:pt idx="85">
                  <c:v>94.039703628164375</c:v>
                </c:pt>
                <c:pt idx="86">
                  <c:v>94.055712777129216</c:v>
                </c:pt>
                <c:pt idx="87">
                  <c:v>94.070995774185334</c:v>
                </c:pt>
                <c:pt idx="88">
                  <c:v>94.085576857239445</c:v>
                </c:pt>
                <c:pt idx="89">
                  <c:v>94.0994792054762</c:v>
                </c:pt>
                <c:pt idx="90">
                  <c:v>94.112724996533771</c:v>
                </c:pt>
                <c:pt idx="91">
                  <c:v>94.125335460013687</c:v>
                </c:pt>
                <c:pt idx="92">
                  <c:v>94.137330927596295</c:v>
                </c:pt>
                <c:pt idx="93">
                  <c:v>94.14873088001049</c:v>
                </c:pt>
                <c:pt idx="94">
                  <c:v>94.159553991085517</c:v>
                </c:pt>
                <c:pt idx="95">
                  <c:v>94.169818169094412</c:v>
                </c:pt>
                <c:pt idx="96">
                  <c:v>94.179540595581088</c:v>
                </c:pt>
                <c:pt idx="97">
                  <c:v>94.188737761848216</c:v>
                </c:pt>
                <c:pt idx="98">
                  <c:v>94.197425503268519</c:v>
                </c:pt>
                <c:pt idx="99">
                  <c:v>94.205619031569483</c:v>
                </c:pt>
                <c:pt idx="100">
                  <c:v>94.213332965229895</c:v>
                </c:pt>
                <c:pt idx="101">
                  <c:v>94.22058135811568</c:v>
                </c:pt>
                <c:pt idx="102">
                  <c:v>94.227377726472881</c:v>
                </c:pt>
                <c:pt idx="103">
                  <c:v>94.233735074386743</c:v>
                </c:pt>
                <c:pt idx="104">
                  <c:v>94.239665917807685</c:v>
                </c:pt>
                <c:pt idx="105">
                  <c:v>94.245182307237272</c:v>
                </c:pt>
                <c:pt idx="106">
                  <c:v>94.250295849160764</c:v>
                </c:pt>
                <c:pt idx="107">
                  <c:v>94.255017726306065</c:v>
                </c:pt>
                <c:pt idx="108">
                  <c:v>94.259358716803504</c:v>
                </c:pt>
                <c:pt idx="109">
                  <c:v>94.263329212315568</c:v>
                </c:pt>
                <c:pt idx="110">
                  <c:v>94.266939235200212</c:v>
                </c:pt>
                <c:pt idx="111">
                  <c:v>94.270198454767581</c:v>
                </c:pt>
                <c:pt idx="112">
                  <c:v>94.273116202685699</c:v>
                </c:pt>
                <c:pt idx="113">
                  <c:v>94.27570148758619</c:v>
                </c:pt>
                <c:pt idx="114">
                  <c:v>94.277963008918377</c:v>
                </c:pt>
                <c:pt idx="115">
                  <c:v>94.279909170096687</c:v>
                </c:pt>
                <c:pt idx="116">
                  <c:v>94.281548090982497</c:v>
                </c:pt>
                <c:pt idx="117">
                  <c:v>94.282887619739924</c:v>
                </c:pt>
                <c:pt idx="118">
                  <c:v>94.283935344101749</c:v>
                </c:pt>
                <c:pt idx="119">
                  <c:v>94.284698602079231</c:v>
                </c:pt>
                <c:pt idx="120">
                  <c:v>94.285184492147792</c:v>
                </c:pt>
                <c:pt idx="121">
                  <c:v>94.28539988293825</c:v>
                </c:pt>
                <c:pt idx="122">
                  <c:v>94.285351422461289</c:v>
                </c:pt>
                <c:pt idx="123">
                  <c:v>94.285045546891126</c:v>
                </c:pt>
                <c:pt idx="124">
                  <c:v>94.284488488932993</c:v>
                </c:pt>
                <c:pt idx="125">
                  <c:v>94.283686285797089</c:v>
                </c:pt>
                <c:pt idx="126">
                  <c:v>94.282644786800233</c:v>
                </c:pt>
                <c:pt idx="127">
                  <c:v>94.281369660616022</c:v>
                </c:pt>
                <c:pt idx="128">
                  <c:v>94.279866402191232</c:v>
                </c:pt>
                <c:pt idx="129">
                  <c:v>94.278140339347502</c:v>
                </c:pt>
                <c:pt idx="130">
                  <c:v>94.27619663908375</c:v>
                </c:pt>
                <c:pt idx="131">
                  <c:v>94.274040313595776</c:v>
                </c:pt>
                <c:pt idx="132">
                  <c:v>94.271676226027495</c:v>
                </c:pt>
                <c:pt idx="133">
                  <c:v>94.269109095967579</c:v>
                </c:pt>
                <c:pt idx="134">
                  <c:v>94.266343504704608</c:v>
                </c:pt>
                <c:pt idx="135">
                  <c:v>94.263383900253231</c:v>
                </c:pt>
                <c:pt idx="136">
                  <c:v>94.260234602162527</c:v>
                </c:pt>
                <c:pt idx="137">
                  <c:v>94.256899806117815</c:v>
                </c:pt>
                <c:pt idx="138">
                  <c:v>94.253383588345912</c:v>
                </c:pt>
                <c:pt idx="139">
                  <c:v>94.249689909833918</c:v>
                </c:pt>
                <c:pt idx="140">
                  <c:v>94.245822620370305</c:v>
                </c:pt>
                <c:pt idx="141">
                  <c:v>94.24178546241717</c:v>
                </c:pt>
                <c:pt idx="142">
                  <c:v>94.237582074821873</c:v>
                </c:pt>
                <c:pt idx="143">
                  <c:v>94.233215996375691</c:v>
                </c:pt>
                <c:pt idx="144">
                  <c:v>94.228690669226594</c:v>
                </c:pt>
                <c:pt idx="145">
                  <c:v>94.224009442153758</c:v>
                </c:pt>
                <c:pt idx="146">
                  <c:v>94.219175573709293</c:v>
                </c:pt>
                <c:pt idx="147">
                  <c:v>94.214192235234307</c:v>
                </c:pt>
                <c:pt idx="148">
                  <c:v>94.209062513754731</c:v>
                </c:pt>
                <c:pt idx="149">
                  <c:v>94.203789414762454</c:v>
                </c:pt>
                <c:pt idx="150">
                  <c:v>94.198375864887169</c:v>
                </c:pt>
              </c:numCache>
            </c:numRef>
          </c:yVal>
          <c:smooth val="0"/>
          <c:extLst>
            <c:ext xmlns:c16="http://schemas.microsoft.com/office/drawing/2014/chart" uri="{C3380CC4-5D6E-409C-BE32-E72D297353CC}">
              <c16:uniqueId val="{00000000-7DAF-432D-B540-E0424C156B7E}"/>
            </c:ext>
          </c:extLst>
        </c:ser>
        <c:dLbls>
          <c:showLegendKey val="0"/>
          <c:showVal val="0"/>
          <c:showCatName val="0"/>
          <c:showSerName val="0"/>
          <c:showPercent val="0"/>
          <c:showBubbleSize val="0"/>
        </c:dLbls>
        <c:axId val="522488064"/>
        <c:axId val="522489856"/>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4.3728822073005456E-2</c:v>
                </c:pt>
                <c:pt idx="2">
                  <c:v>7.8711746261094909E-2</c:v>
                </c:pt>
                <c:pt idx="3">
                  <c:v>0.11393519937480419</c:v>
                </c:pt>
                <c:pt idx="4">
                  <c:v>0.14939918141413333</c:v>
                </c:pt>
                <c:pt idx="5">
                  <c:v>0.18510369237908231</c:v>
                </c:pt>
                <c:pt idx="6">
                  <c:v>0.22104873226965108</c:v>
                </c:pt>
                <c:pt idx="7">
                  <c:v>0.25723430108583978</c:v>
                </c:pt>
                <c:pt idx="8">
                  <c:v>0.29366039882764816</c:v>
                </c:pt>
                <c:pt idx="9">
                  <c:v>0.33032702549507642</c:v>
                </c:pt>
                <c:pt idx="10">
                  <c:v>0.36723418108812461</c:v>
                </c:pt>
                <c:pt idx="11">
                  <c:v>0.40438186560679262</c:v>
                </c:pt>
                <c:pt idx="12">
                  <c:v>0.44177007905108034</c:v>
                </c:pt>
                <c:pt idx="13">
                  <c:v>0.479398821420988</c:v>
                </c:pt>
                <c:pt idx="14">
                  <c:v>0.51726809271651564</c:v>
                </c:pt>
                <c:pt idx="15">
                  <c:v>0.55537789293766271</c:v>
                </c:pt>
                <c:pt idx="16">
                  <c:v>0.59372822208442988</c:v>
                </c:pt>
                <c:pt idx="17">
                  <c:v>0.63231908015681704</c:v>
                </c:pt>
                <c:pt idx="18">
                  <c:v>0.67115046715482363</c:v>
                </c:pt>
                <c:pt idx="19">
                  <c:v>0.71022238307845043</c:v>
                </c:pt>
                <c:pt idx="20">
                  <c:v>0.74953482792769688</c:v>
                </c:pt>
                <c:pt idx="21">
                  <c:v>0.7890878017025631</c:v>
                </c:pt>
                <c:pt idx="22">
                  <c:v>0.82888130440304941</c:v>
                </c:pt>
                <c:pt idx="23">
                  <c:v>0.86891533602915527</c:v>
                </c:pt>
                <c:pt idx="24">
                  <c:v>0.90918989658088112</c:v>
                </c:pt>
                <c:pt idx="25">
                  <c:v>0.94970498605822673</c:v>
                </c:pt>
                <c:pt idx="26">
                  <c:v>0.99046060446119233</c:v>
                </c:pt>
                <c:pt idx="27">
                  <c:v>1.0314567517897777</c:v>
                </c:pt>
                <c:pt idx="28">
                  <c:v>1.072693428043983</c:v>
                </c:pt>
                <c:pt idx="29">
                  <c:v>1.1141706332238077</c:v>
                </c:pt>
                <c:pt idx="30">
                  <c:v>1.1558883673292526</c:v>
                </c:pt>
                <c:pt idx="31">
                  <c:v>1.1978466303603172</c:v>
                </c:pt>
                <c:pt idx="32">
                  <c:v>1.2400454223170017</c:v>
                </c:pt>
                <c:pt idx="33">
                  <c:v>1.2824847431993061</c:v>
                </c:pt>
                <c:pt idx="34">
                  <c:v>1.3251645930072304</c:v>
                </c:pt>
                <c:pt idx="35">
                  <c:v>1.3680849717407744</c:v>
                </c:pt>
                <c:pt idx="36">
                  <c:v>1.4112458793999378</c:v>
                </c:pt>
                <c:pt idx="37">
                  <c:v>1.4546473159847215</c:v>
                </c:pt>
                <c:pt idx="38">
                  <c:v>1.4982892814951254</c:v>
                </c:pt>
                <c:pt idx="39">
                  <c:v>1.5421717759311486</c:v>
                </c:pt>
                <c:pt idx="40">
                  <c:v>1.5862947992927918</c:v>
                </c:pt>
                <c:pt idx="41">
                  <c:v>1.6306583515800548</c:v>
                </c:pt>
                <c:pt idx="42">
                  <c:v>1.6752624327929373</c:v>
                </c:pt>
                <c:pt idx="43">
                  <c:v>1.72010704293144</c:v>
                </c:pt>
                <c:pt idx="44">
                  <c:v>1.7651921819955629</c:v>
                </c:pt>
                <c:pt idx="45">
                  <c:v>1.8105178499853047</c:v>
                </c:pt>
                <c:pt idx="46">
                  <c:v>1.8560840469006674</c:v>
                </c:pt>
                <c:pt idx="47">
                  <c:v>1.9018907727416496</c:v>
                </c:pt>
                <c:pt idx="48">
                  <c:v>1.947938027508251</c:v>
                </c:pt>
                <c:pt idx="49">
                  <c:v>1.9942258112004727</c:v>
                </c:pt>
                <c:pt idx="50">
                  <c:v>2.040754123818314</c:v>
                </c:pt>
                <c:pt idx="51">
                  <c:v>2.0875229653617762</c:v>
                </c:pt>
                <c:pt idx="52">
                  <c:v>2.134532335830857</c:v>
                </c:pt>
                <c:pt idx="53">
                  <c:v>2.1817822352255578</c:v>
                </c:pt>
                <c:pt idx="54">
                  <c:v>2.2292726635458791</c:v>
                </c:pt>
                <c:pt idx="55">
                  <c:v>2.2770036207918194</c:v>
                </c:pt>
                <c:pt idx="56">
                  <c:v>2.3249751069633806</c:v>
                </c:pt>
                <c:pt idx="57">
                  <c:v>2.3731871220605609</c:v>
                </c:pt>
                <c:pt idx="58">
                  <c:v>2.4216396660833603</c:v>
                </c:pt>
                <c:pt idx="59">
                  <c:v>2.4703327390317802</c:v>
                </c:pt>
                <c:pt idx="60">
                  <c:v>2.5192663409058205</c:v>
                </c:pt>
                <c:pt idx="61">
                  <c:v>2.5684404717054798</c:v>
                </c:pt>
                <c:pt idx="62">
                  <c:v>2.6178551314307597</c:v>
                </c:pt>
                <c:pt idx="63">
                  <c:v>2.6675103200816594</c:v>
                </c:pt>
                <c:pt idx="64">
                  <c:v>2.7174060376581783</c:v>
                </c:pt>
                <c:pt idx="65">
                  <c:v>2.7675422841603172</c:v>
                </c:pt>
                <c:pt idx="66">
                  <c:v>2.8179190595880761</c:v>
                </c:pt>
                <c:pt idx="67">
                  <c:v>2.8685363639414545</c:v>
                </c:pt>
                <c:pt idx="68">
                  <c:v>2.9193941972204538</c:v>
                </c:pt>
                <c:pt idx="69">
                  <c:v>2.9704925594250726</c:v>
                </c:pt>
                <c:pt idx="70">
                  <c:v>3.0218314505553105</c:v>
                </c:pt>
                <c:pt idx="71">
                  <c:v>3.073410870611168</c:v>
                </c:pt>
                <c:pt idx="72">
                  <c:v>3.1252308195926455</c:v>
                </c:pt>
                <c:pt idx="73">
                  <c:v>3.1772912974997434</c:v>
                </c:pt>
                <c:pt idx="74">
                  <c:v>3.2295923043324608</c:v>
                </c:pt>
                <c:pt idx="75">
                  <c:v>3.2821338400907987</c:v>
                </c:pt>
                <c:pt idx="76">
                  <c:v>3.3349159047747565</c:v>
                </c:pt>
                <c:pt idx="77">
                  <c:v>3.387938498384333</c:v>
                </c:pt>
                <c:pt idx="78">
                  <c:v>3.4412016209195304</c:v>
                </c:pt>
                <c:pt idx="79">
                  <c:v>3.4947052723803465</c:v>
                </c:pt>
                <c:pt idx="80">
                  <c:v>3.5484494527667838</c:v>
                </c:pt>
                <c:pt idx="81">
                  <c:v>3.6024341620788394</c:v>
                </c:pt>
                <c:pt idx="82">
                  <c:v>3.6566594003165163</c:v>
                </c:pt>
                <c:pt idx="83">
                  <c:v>3.7111251674798122</c:v>
                </c:pt>
                <c:pt idx="84">
                  <c:v>3.7658314635687269</c:v>
                </c:pt>
                <c:pt idx="85">
                  <c:v>3.8207782885832633</c:v>
                </c:pt>
                <c:pt idx="86">
                  <c:v>3.8759656425234188</c:v>
                </c:pt>
                <c:pt idx="87">
                  <c:v>3.9313935253891943</c:v>
                </c:pt>
                <c:pt idx="88">
                  <c:v>3.9870619371805902</c:v>
                </c:pt>
                <c:pt idx="89">
                  <c:v>4.0429708778976057</c:v>
                </c:pt>
                <c:pt idx="90">
                  <c:v>4.0991203475402394</c:v>
                </c:pt>
                <c:pt idx="91">
                  <c:v>4.1555103461084943</c:v>
                </c:pt>
                <c:pt idx="92">
                  <c:v>4.2121408736023689</c:v>
                </c:pt>
                <c:pt idx="93">
                  <c:v>4.269011930021863</c:v>
                </c:pt>
                <c:pt idx="94">
                  <c:v>4.3261235153669784</c:v>
                </c:pt>
                <c:pt idx="95">
                  <c:v>4.3834756296377124</c:v>
                </c:pt>
                <c:pt idx="96">
                  <c:v>4.441068272834066</c:v>
                </c:pt>
                <c:pt idx="97">
                  <c:v>4.4989014449560392</c:v>
                </c:pt>
                <c:pt idx="98">
                  <c:v>4.5569751460036327</c:v>
                </c:pt>
                <c:pt idx="99">
                  <c:v>4.6152893759768459</c:v>
                </c:pt>
                <c:pt idx="100">
                  <c:v>4.6738441348756794</c:v>
                </c:pt>
                <c:pt idx="101">
                  <c:v>4.7326394227001334</c:v>
                </c:pt>
                <c:pt idx="102">
                  <c:v>4.791675239450206</c:v>
                </c:pt>
                <c:pt idx="103">
                  <c:v>4.8509515851258982</c:v>
                </c:pt>
                <c:pt idx="104">
                  <c:v>4.9104684597272108</c:v>
                </c:pt>
                <c:pt idx="105">
                  <c:v>4.9702258632541438</c:v>
                </c:pt>
                <c:pt idx="106">
                  <c:v>5.0302237957066955</c:v>
                </c:pt>
                <c:pt idx="107">
                  <c:v>5.0904622570848677</c:v>
                </c:pt>
                <c:pt idx="108">
                  <c:v>5.1509412473886602</c:v>
                </c:pt>
                <c:pt idx="109">
                  <c:v>5.2116607666180723</c:v>
                </c:pt>
                <c:pt idx="110">
                  <c:v>5.2726208147731031</c:v>
                </c:pt>
                <c:pt idx="111">
                  <c:v>5.3338213918537551</c:v>
                </c:pt>
                <c:pt idx="112">
                  <c:v>5.3952624978600277</c:v>
                </c:pt>
                <c:pt idx="113">
                  <c:v>5.456944132791917</c:v>
                </c:pt>
                <c:pt idx="114">
                  <c:v>5.5188662966494295</c:v>
                </c:pt>
                <c:pt idx="115">
                  <c:v>5.5810289894325598</c:v>
                </c:pt>
                <c:pt idx="116">
                  <c:v>5.6434322111413078</c:v>
                </c:pt>
                <c:pt idx="117">
                  <c:v>5.7060759617756789</c:v>
                </c:pt>
                <c:pt idx="118">
                  <c:v>5.7689602413356695</c:v>
                </c:pt>
                <c:pt idx="119">
                  <c:v>5.8320850498212806</c:v>
                </c:pt>
                <c:pt idx="120">
                  <c:v>5.8954503872325104</c:v>
                </c:pt>
                <c:pt idx="121">
                  <c:v>5.9590562535693579</c:v>
                </c:pt>
                <c:pt idx="122">
                  <c:v>6.0229026488318294</c:v>
                </c:pt>
                <c:pt idx="123">
                  <c:v>6.0869895730199177</c:v>
                </c:pt>
                <c:pt idx="124">
                  <c:v>6.1513170261336283</c:v>
                </c:pt>
                <c:pt idx="125">
                  <c:v>6.2158850081729566</c:v>
                </c:pt>
                <c:pt idx="126">
                  <c:v>6.2806935191379072</c:v>
                </c:pt>
                <c:pt idx="127">
                  <c:v>6.3457425590284764</c:v>
                </c:pt>
                <c:pt idx="128">
                  <c:v>6.4110321278446634</c:v>
                </c:pt>
                <c:pt idx="129">
                  <c:v>6.4765622255864734</c:v>
                </c:pt>
                <c:pt idx="130">
                  <c:v>6.5423328522538995</c:v>
                </c:pt>
                <c:pt idx="131">
                  <c:v>6.6083440078469478</c:v>
                </c:pt>
                <c:pt idx="132">
                  <c:v>6.6745956923656165</c:v>
                </c:pt>
                <c:pt idx="133">
                  <c:v>6.7410879058099038</c:v>
                </c:pt>
                <c:pt idx="134">
                  <c:v>6.8078206481798116</c:v>
                </c:pt>
                <c:pt idx="135">
                  <c:v>6.8747939194753389</c:v>
                </c:pt>
                <c:pt idx="136">
                  <c:v>6.9420077196964876</c:v>
                </c:pt>
                <c:pt idx="137">
                  <c:v>7.009462048843254</c:v>
                </c:pt>
                <c:pt idx="138">
                  <c:v>7.0771569069156417</c:v>
                </c:pt>
                <c:pt idx="139">
                  <c:v>7.145092293913649</c:v>
                </c:pt>
                <c:pt idx="140">
                  <c:v>7.2132682098372758</c:v>
                </c:pt>
                <c:pt idx="141">
                  <c:v>7.2816846546865222</c:v>
                </c:pt>
                <c:pt idx="142">
                  <c:v>7.3503416284613863</c:v>
                </c:pt>
                <c:pt idx="143">
                  <c:v>7.4192391311618735</c:v>
                </c:pt>
                <c:pt idx="144">
                  <c:v>7.4883771627879785</c:v>
                </c:pt>
                <c:pt idx="145">
                  <c:v>7.5577557233397048</c:v>
                </c:pt>
                <c:pt idx="146">
                  <c:v>7.6273748128170507</c:v>
                </c:pt>
                <c:pt idx="147">
                  <c:v>7.697234431220016</c:v>
                </c:pt>
                <c:pt idx="148">
                  <c:v>7.767334578548601</c:v>
                </c:pt>
                <c:pt idx="149">
                  <c:v>7.8376752548028064</c:v>
                </c:pt>
                <c:pt idx="150">
                  <c:v>7.9082564599826313</c:v>
                </c:pt>
              </c:numCache>
            </c:numRef>
          </c:yVal>
          <c:smooth val="1"/>
          <c:extLst>
            <c:ext xmlns:c16="http://schemas.microsoft.com/office/drawing/2014/chart" uri="{C3380CC4-5D6E-409C-BE32-E72D297353CC}">
              <c16:uniqueId val="{00000001-7DAF-432D-B540-E0424C156B7E}"/>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2.4176791697319411</c:v>
                </c:pt>
                <c:pt idx="1">
                  <c:v>2.4200448424592138</c:v>
                </c:pt>
                <c:pt idx="2">
                  <c:v>2.4224727697319413</c:v>
                </c:pt>
                <c:pt idx="3">
                  <c:v>2.424962951550123</c:v>
                </c:pt>
                <c:pt idx="4">
                  <c:v>2.427515387913759</c:v>
                </c:pt>
                <c:pt idx="5">
                  <c:v>2.4301300788228501</c:v>
                </c:pt>
                <c:pt idx="6">
                  <c:v>2.4328070242773956</c:v>
                </c:pt>
                <c:pt idx="7">
                  <c:v>2.4355462242773958</c:v>
                </c:pt>
                <c:pt idx="8">
                  <c:v>2.4383476788228502</c:v>
                </c:pt>
                <c:pt idx="9">
                  <c:v>2.4412113879137589</c:v>
                </c:pt>
                <c:pt idx="10">
                  <c:v>2.4441373515501232</c:v>
                </c:pt>
                <c:pt idx="11">
                  <c:v>2.4471255697319414</c:v>
                </c:pt>
                <c:pt idx="12">
                  <c:v>2.4501760424592138</c:v>
                </c:pt>
                <c:pt idx="13">
                  <c:v>2.453288769731941</c:v>
                </c:pt>
                <c:pt idx="14">
                  <c:v>2.4564637515501229</c:v>
                </c:pt>
                <c:pt idx="15">
                  <c:v>2.4597009879137595</c:v>
                </c:pt>
                <c:pt idx="16">
                  <c:v>2.4630004788228503</c:v>
                </c:pt>
                <c:pt idx="17">
                  <c:v>2.4663622242773955</c:v>
                </c:pt>
                <c:pt idx="18">
                  <c:v>2.4697862242773954</c:v>
                </c:pt>
                <c:pt idx="19">
                  <c:v>2.47327247882285</c:v>
                </c:pt>
                <c:pt idx="20">
                  <c:v>2.4768209879137588</c:v>
                </c:pt>
                <c:pt idx="21">
                  <c:v>2.4804317515501229</c:v>
                </c:pt>
                <c:pt idx="22">
                  <c:v>2.4841047697319412</c:v>
                </c:pt>
                <c:pt idx="23">
                  <c:v>2.4878400424592138</c:v>
                </c:pt>
                <c:pt idx="24">
                  <c:v>2.4916375697319411</c:v>
                </c:pt>
                <c:pt idx="25">
                  <c:v>2.4954973515501226</c:v>
                </c:pt>
                <c:pt idx="26">
                  <c:v>2.4994193879137594</c:v>
                </c:pt>
                <c:pt idx="27">
                  <c:v>2.5034036788228504</c:v>
                </c:pt>
                <c:pt idx="28">
                  <c:v>2.5074502242773957</c:v>
                </c:pt>
                <c:pt idx="29">
                  <c:v>2.5115590242773953</c:v>
                </c:pt>
                <c:pt idx="30">
                  <c:v>2.51573007882285</c:v>
                </c:pt>
                <c:pt idx="31">
                  <c:v>2.5199633879137595</c:v>
                </c:pt>
                <c:pt idx="32">
                  <c:v>2.5242589515501228</c:v>
                </c:pt>
                <c:pt idx="33">
                  <c:v>2.5286167697319413</c:v>
                </c:pt>
                <c:pt idx="34">
                  <c:v>2.5330368424592136</c:v>
                </c:pt>
                <c:pt idx="35">
                  <c:v>2.537519169731941</c:v>
                </c:pt>
                <c:pt idx="36">
                  <c:v>2.5420637515501232</c:v>
                </c:pt>
                <c:pt idx="37">
                  <c:v>2.5466705879137592</c:v>
                </c:pt>
                <c:pt idx="38">
                  <c:v>2.55133967882285</c:v>
                </c:pt>
                <c:pt idx="39">
                  <c:v>2.5560710242773954</c:v>
                </c:pt>
                <c:pt idx="40">
                  <c:v>2.5608646242773956</c:v>
                </c:pt>
                <c:pt idx="41">
                  <c:v>2.5657204788228505</c:v>
                </c:pt>
                <c:pt idx="42">
                  <c:v>2.5706385879137592</c:v>
                </c:pt>
                <c:pt idx="43">
                  <c:v>2.5756189515501227</c:v>
                </c:pt>
                <c:pt idx="44">
                  <c:v>2.5806615697319408</c:v>
                </c:pt>
                <c:pt idx="45">
                  <c:v>2.5857664424592137</c:v>
                </c:pt>
                <c:pt idx="46">
                  <c:v>2.5909335697319413</c:v>
                </c:pt>
                <c:pt idx="47">
                  <c:v>2.5961629515501228</c:v>
                </c:pt>
                <c:pt idx="48">
                  <c:v>2.6014545879137594</c:v>
                </c:pt>
                <c:pt idx="49">
                  <c:v>2.6068084788228503</c:v>
                </c:pt>
                <c:pt idx="50">
                  <c:v>2.6122246242773954</c:v>
                </c:pt>
                <c:pt idx="51">
                  <c:v>2.6177030242773958</c:v>
                </c:pt>
                <c:pt idx="52">
                  <c:v>2.6232436788228504</c:v>
                </c:pt>
                <c:pt idx="53">
                  <c:v>2.6288465879137592</c:v>
                </c:pt>
                <c:pt idx="54">
                  <c:v>2.6345117515501228</c:v>
                </c:pt>
                <c:pt idx="55">
                  <c:v>2.6402391697319407</c:v>
                </c:pt>
                <c:pt idx="56">
                  <c:v>2.6460288424592142</c:v>
                </c:pt>
                <c:pt idx="57">
                  <c:v>2.6518807697319411</c:v>
                </c:pt>
                <c:pt idx="58">
                  <c:v>2.6577949515501231</c:v>
                </c:pt>
                <c:pt idx="59">
                  <c:v>2.663771387913759</c:v>
                </c:pt>
                <c:pt idx="60">
                  <c:v>2.66981007882285</c:v>
                </c:pt>
                <c:pt idx="61">
                  <c:v>2.6759110242773958</c:v>
                </c:pt>
                <c:pt idx="62">
                  <c:v>2.6820742242773958</c:v>
                </c:pt>
                <c:pt idx="63">
                  <c:v>2.6882996788228501</c:v>
                </c:pt>
                <c:pt idx="64">
                  <c:v>2.6945873879137592</c:v>
                </c:pt>
                <c:pt idx="65">
                  <c:v>2.7009373515501229</c:v>
                </c:pt>
                <c:pt idx="66">
                  <c:v>2.7073495697319414</c:v>
                </c:pt>
                <c:pt idx="67">
                  <c:v>2.7138240424592137</c:v>
                </c:pt>
                <c:pt idx="68">
                  <c:v>2.7203607697319412</c:v>
                </c:pt>
                <c:pt idx="69">
                  <c:v>2.7269597515501229</c:v>
                </c:pt>
                <c:pt idx="70">
                  <c:v>2.733620987913759</c:v>
                </c:pt>
                <c:pt idx="71">
                  <c:v>2.7403444788228501</c:v>
                </c:pt>
                <c:pt idx="72">
                  <c:v>2.7471302242773956</c:v>
                </c:pt>
                <c:pt idx="73">
                  <c:v>2.7539782242773958</c:v>
                </c:pt>
                <c:pt idx="74">
                  <c:v>2.7608884788228498</c:v>
                </c:pt>
                <c:pt idx="75">
                  <c:v>2.767860987913759</c:v>
                </c:pt>
                <c:pt idx="76">
                  <c:v>2.7748957515501234</c:v>
                </c:pt>
                <c:pt idx="77">
                  <c:v>2.7819927697319411</c:v>
                </c:pt>
                <c:pt idx="78">
                  <c:v>2.789152042459214</c:v>
                </c:pt>
                <c:pt idx="79">
                  <c:v>2.7963735697319412</c:v>
                </c:pt>
                <c:pt idx="80">
                  <c:v>2.8036573515501226</c:v>
                </c:pt>
                <c:pt idx="81">
                  <c:v>2.8110033879137593</c:v>
                </c:pt>
                <c:pt idx="82">
                  <c:v>2.8184116788228506</c:v>
                </c:pt>
                <c:pt idx="83">
                  <c:v>2.8258822242773958</c:v>
                </c:pt>
                <c:pt idx="84">
                  <c:v>2.8334150242773952</c:v>
                </c:pt>
                <c:pt idx="85">
                  <c:v>2.8410100788228498</c:v>
                </c:pt>
                <c:pt idx="86">
                  <c:v>2.8486673879137596</c:v>
                </c:pt>
                <c:pt idx="87">
                  <c:v>2.8563869515501232</c:v>
                </c:pt>
                <c:pt idx="88">
                  <c:v>2.8641687697319411</c:v>
                </c:pt>
                <c:pt idx="89">
                  <c:v>2.8720128424592137</c:v>
                </c:pt>
                <c:pt idx="90">
                  <c:v>2.8799191697319411</c:v>
                </c:pt>
                <c:pt idx="91">
                  <c:v>2.8878877515501227</c:v>
                </c:pt>
                <c:pt idx="92">
                  <c:v>2.8959185879137594</c:v>
                </c:pt>
                <c:pt idx="93">
                  <c:v>2.9040116788228501</c:v>
                </c:pt>
                <c:pt idx="94">
                  <c:v>2.9121670242773958</c:v>
                </c:pt>
                <c:pt idx="95">
                  <c:v>2.9203846242773954</c:v>
                </c:pt>
                <c:pt idx="96">
                  <c:v>2.9286644788228502</c:v>
                </c:pt>
                <c:pt idx="97">
                  <c:v>2.9370065879137597</c:v>
                </c:pt>
                <c:pt idx="98">
                  <c:v>2.945410951550123</c:v>
                </c:pt>
                <c:pt idx="99">
                  <c:v>2.953877569731941</c:v>
                </c:pt>
                <c:pt idx="100">
                  <c:v>2.9624064424592138</c:v>
                </c:pt>
                <c:pt idx="101">
                  <c:v>2.9709975697319413</c:v>
                </c:pt>
                <c:pt idx="102">
                  <c:v>2.9796509515501231</c:v>
                </c:pt>
                <c:pt idx="103">
                  <c:v>2.9883665879137595</c:v>
                </c:pt>
                <c:pt idx="104">
                  <c:v>2.9971444788228503</c:v>
                </c:pt>
                <c:pt idx="105">
                  <c:v>3.0059846242773953</c:v>
                </c:pt>
                <c:pt idx="106">
                  <c:v>3.0148870242773955</c:v>
                </c:pt>
                <c:pt idx="107">
                  <c:v>3.0238516788228504</c:v>
                </c:pt>
                <c:pt idx="108">
                  <c:v>3.0328785879137592</c:v>
                </c:pt>
                <c:pt idx="109">
                  <c:v>3.0419677515501227</c:v>
                </c:pt>
                <c:pt idx="110">
                  <c:v>3.0511191697319409</c:v>
                </c:pt>
                <c:pt idx="111">
                  <c:v>3.0603328424592142</c:v>
                </c:pt>
                <c:pt idx="112">
                  <c:v>3.0696087697319414</c:v>
                </c:pt>
                <c:pt idx="113">
                  <c:v>3.0789469515501229</c:v>
                </c:pt>
                <c:pt idx="114">
                  <c:v>3.0883473879137595</c:v>
                </c:pt>
                <c:pt idx="115">
                  <c:v>3.09781007882285</c:v>
                </c:pt>
                <c:pt idx="116">
                  <c:v>3.1073350242773956</c:v>
                </c:pt>
                <c:pt idx="117">
                  <c:v>3.116922224277396</c:v>
                </c:pt>
                <c:pt idx="118">
                  <c:v>3.1265716788228501</c:v>
                </c:pt>
                <c:pt idx="119">
                  <c:v>3.1362833879137595</c:v>
                </c:pt>
                <c:pt idx="120">
                  <c:v>3.1460573515501227</c:v>
                </c:pt>
                <c:pt idx="121">
                  <c:v>3.155893569731941</c:v>
                </c:pt>
                <c:pt idx="122">
                  <c:v>3.1657920424592141</c:v>
                </c:pt>
                <c:pt idx="123">
                  <c:v>3.175752769731941</c:v>
                </c:pt>
                <c:pt idx="124">
                  <c:v>3.185775751550123</c:v>
                </c:pt>
                <c:pt idx="125">
                  <c:v>3.1958609879137589</c:v>
                </c:pt>
                <c:pt idx="126">
                  <c:v>3.20600847882285</c:v>
                </c:pt>
                <c:pt idx="127">
                  <c:v>3.2162182242773962</c:v>
                </c:pt>
                <c:pt idx="128">
                  <c:v>3.2264902242773958</c:v>
                </c:pt>
                <c:pt idx="129">
                  <c:v>3.2368244788228502</c:v>
                </c:pt>
                <c:pt idx="130">
                  <c:v>3.2472209879137592</c:v>
                </c:pt>
                <c:pt idx="131">
                  <c:v>3.257679751550123</c:v>
                </c:pt>
                <c:pt idx="132">
                  <c:v>3.2682007697319415</c:v>
                </c:pt>
                <c:pt idx="133">
                  <c:v>3.2787840424592138</c:v>
                </c:pt>
                <c:pt idx="134">
                  <c:v>3.2894295697319413</c:v>
                </c:pt>
                <c:pt idx="135">
                  <c:v>3.3001373515501227</c:v>
                </c:pt>
                <c:pt idx="136">
                  <c:v>3.3109073879137592</c:v>
                </c:pt>
                <c:pt idx="137">
                  <c:v>3.3217396788228504</c:v>
                </c:pt>
                <c:pt idx="138">
                  <c:v>3.3326342242773959</c:v>
                </c:pt>
                <c:pt idx="139">
                  <c:v>3.3435910242773956</c:v>
                </c:pt>
                <c:pt idx="140">
                  <c:v>3.3546100788228501</c:v>
                </c:pt>
                <c:pt idx="141">
                  <c:v>3.3656913879137593</c:v>
                </c:pt>
                <c:pt idx="142">
                  <c:v>3.3768349515501228</c:v>
                </c:pt>
                <c:pt idx="143">
                  <c:v>3.388040769731941</c:v>
                </c:pt>
                <c:pt idx="144">
                  <c:v>3.3993088424592135</c:v>
                </c:pt>
                <c:pt idx="145">
                  <c:v>3.4106391697319411</c:v>
                </c:pt>
                <c:pt idx="146">
                  <c:v>3.4220317515501226</c:v>
                </c:pt>
                <c:pt idx="147">
                  <c:v>3.4334865879137588</c:v>
                </c:pt>
                <c:pt idx="148">
                  <c:v>3.4450036788228502</c:v>
                </c:pt>
                <c:pt idx="149">
                  <c:v>3.4565830242773958</c:v>
                </c:pt>
                <c:pt idx="150">
                  <c:v>3.4682246242773958</c:v>
                </c:pt>
              </c:numCache>
            </c:numRef>
          </c:yVal>
          <c:smooth val="1"/>
          <c:extLst>
            <c:ext xmlns:c16="http://schemas.microsoft.com/office/drawing/2014/chart" uri="{C3380CC4-5D6E-409C-BE32-E72D297353CC}">
              <c16:uniqueId val="{00000002-7DAF-432D-B540-E0424C156B7E}"/>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7DAF-432D-B540-E0424C156B7E}"/>
            </c:ext>
          </c:extLst>
        </c:ser>
        <c:dLbls>
          <c:showLegendKey val="0"/>
          <c:showVal val="0"/>
          <c:showCatName val="0"/>
          <c:showSerName val="0"/>
          <c:showPercent val="0"/>
          <c:showBubbleSize val="0"/>
        </c:dLbls>
        <c:axId val="522502144"/>
        <c:axId val="522491776"/>
      </c:scatterChart>
      <c:valAx>
        <c:axId val="522488064"/>
        <c:scaling>
          <c:orientation val="minMax"/>
        </c:scaling>
        <c:delete val="0"/>
        <c:axPos val="b"/>
        <c:majorGridlines/>
        <c:numFmt formatCode="General" sourceLinked="1"/>
        <c:majorTickMark val="out"/>
        <c:minorTickMark val="none"/>
        <c:tickLblPos val="nextTo"/>
        <c:crossAx val="522489856"/>
        <c:crosses val="autoZero"/>
        <c:crossBetween val="midCat"/>
      </c:valAx>
      <c:valAx>
        <c:axId val="52248985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522488064"/>
        <c:crosses val="autoZero"/>
        <c:crossBetween val="midCat"/>
      </c:valAx>
      <c:valAx>
        <c:axId val="522491776"/>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522502144"/>
        <c:crosses val="max"/>
        <c:crossBetween val="midCat"/>
      </c:valAx>
      <c:valAx>
        <c:axId val="52250214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522491776"/>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27.424993977551054</c:v>
                </c:pt>
                <c:pt idx="2">
                  <c:v>42.8805960352393</c:v>
                </c:pt>
                <c:pt idx="3">
                  <c:v>52.795737676346924</c:v>
                </c:pt>
                <c:pt idx="4">
                  <c:v>59.694393716566616</c:v>
                </c:pt>
                <c:pt idx="5">
                  <c:v>64.769575408915699</c:v>
                </c:pt>
                <c:pt idx="6">
                  <c:v>68.658461829425391</c:v>
                </c:pt>
                <c:pt idx="7">
                  <c:v>71.732336560431449</c:v>
                </c:pt>
                <c:pt idx="8">
                  <c:v>74.222183009443413</c:v>
                </c:pt>
                <c:pt idx="9">
                  <c:v>76.279234799984621</c:v>
                </c:pt>
                <c:pt idx="10">
                  <c:v>78.006659208204482</c:v>
                </c:pt>
                <c:pt idx="11">
                  <c:v>79.477247597241757</c:v>
                </c:pt>
                <c:pt idx="12">
                  <c:v>80.743828535848877</c:v>
                </c:pt>
                <c:pt idx="13">
                  <c:v>81.845672121166018</c:v>
                </c:pt>
                <c:pt idx="14">
                  <c:v>82.812577449188041</c:v>
                </c:pt>
                <c:pt idx="15">
                  <c:v>83.667565472988485</c:v>
                </c:pt>
                <c:pt idx="16">
                  <c:v>84.428702514900664</c:v>
                </c:pt>
                <c:pt idx="17">
                  <c:v>85.110365144735894</c:v>
                </c:pt>
                <c:pt idx="18">
                  <c:v>85.724136385689334</c:v>
                </c:pt>
                <c:pt idx="19">
                  <c:v>86.279452805849687</c:v>
                </c:pt>
                <c:pt idx="20">
                  <c:v>86.784079704496136</c:v>
                </c:pt>
                <c:pt idx="21">
                  <c:v>87.244465413566957</c:v>
                </c:pt>
                <c:pt idx="22">
                  <c:v>87.666009132840259</c:v>
                </c:pt>
                <c:pt idx="23">
                  <c:v>88.053265955438292</c:v>
                </c:pt>
                <c:pt idx="24">
                  <c:v>88.410105621590944</c:v>
                </c:pt>
                <c:pt idx="25">
                  <c:v>88.739836742453477</c:v>
                </c:pt>
                <c:pt idx="26">
                  <c:v>89.045304949678439</c:v>
                </c:pt>
                <c:pt idx="27">
                  <c:v>89.328971139990372</c:v>
                </c:pt>
                <c:pt idx="28">
                  <c:v>89.592974370366534</c:v>
                </c:pt>
                <c:pt idx="29">
                  <c:v>89.839182805576797</c:v>
                </c:pt>
                <c:pt idx="30">
                  <c:v>90.069235284676452</c:v>
                </c:pt>
                <c:pt idx="31">
                  <c:v>90.28457546168552</c:v>
                </c:pt>
                <c:pt idx="32">
                  <c:v>90.486480023420796</c:v>
                </c:pt>
                <c:pt idx="33">
                  <c:v>90.676082149563328</c:v>
                </c:pt>
                <c:pt idx="34">
                  <c:v>90.854391125278937</c:v>
                </c:pt>
                <c:pt idx="35">
                  <c:v>91.022308822950023</c:v>
                </c:pt>
                <c:pt idx="36">
                  <c:v>91.180643621011299</c:v>
                </c:pt>
                <c:pt idx="37">
                  <c:v>91.330122213093432</c:v>
                </c:pt>
                <c:pt idx="38">
                  <c:v>91.471399671345495</c:v>
                </c:pt>
                <c:pt idx="39">
                  <c:v>91.605068057807443</c:v>
                </c:pt>
                <c:pt idx="40">
                  <c:v>91.731663822497381</c:v>
                </c:pt>
                <c:pt idx="41">
                  <c:v>91.851674183072788</c:v>
                </c:pt>
                <c:pt idx="42">
                  <c:v>91.965542645960156</c:v>
                </c:pt>
                <c:pt idx="43">
                  <c:v>92.073673800787887</c:v>
                </c:pt>
                <c:pt idx="44">
                  <c:v>92.176437497316627</c:v>
                </c:pt>
                <c:pt idx="45">
                  <c:v>92.274172495704505</c:v>
                </c:pt>
                <c:pt idx="46">
                  <c:v>92.367189665986828</c:v>
                </c:pt>
                <c:pt idx="47">
                  <c:v>92.455774800408065</c:v>
                </c:pt>
                <c:pt idx="48">
                  <c:v>92.540191092179612</c:v>
                </c:pt>
                <c:pt idx="49">
                  <c:v>92.620681325928246</c:v>
                </c:pt>
                <c:pt idx="50">
                  <c:v>92.697469818214245</c:v>
                </c:pt>
                <c:pt idx="51">
                  <c:v>92.770764140768193</c:v>
                </c:pt>
                <c:pt idx="52">
                  <c:v>92.84075665431051</c:v>
                </c:pt>
                <c:pt idx="53">
                  <c:v>92.907625876807231</c:v>
                </c:pt>
                <c:pt idx="54">
                  <c:v>92.9715377066439</c:v>
                </c:pt>
                <c:pt idx="55">
                  <c:v>93.03264651835299</c:v>
                </c:pt>
                <c:pt idx="56">
                  <c:v>93.091096146122908</c:v>
                </c:pt>
                <c:pt idx="57">
                  <c:v>93.147020768271858</c:v>
                </c:pt>
                <c:pt idx="58">
                  <c:v>93.200545704128885</c:v>
                </c:pt>
                <c:pt idx="59">
                  <c:v>93.251788133278168</c:v>
                </c:pt>
                <c:pt idx="60">
                  <c:v>93.300857745850195</c:v>
                </c:pt>
                <c:pt idx="61">
                  <c:v>93.347857331450669</c:v>
                </c:pt>
                <c:pt idx="62">
                  <c:v>93.392883313377567</c:v>
                </c:pt>
                <c:pt idx="63">
                  <c:v>93.436026233966246</c:v>
                </c:pt>
                <c:pt idx="64">
                  <c:v>93.477371196200039</c:v>
                </c:pt>
                <c:pt idx="65">
                  <c:v>93.516998266116218</c:v>
                </c:pt>
                <c:pt idx="66">
                  <c:v>93.554982840008606</c:v>
                </c:pt>
                <c:pt idx="67">
                  <c:v>93.591395979968226</c:v>
                </c:pt>
                <c:pt idx="68">
                  <c:v>93.626304720901686</c:v>
                </c:pt>
                <c:pt idx="69">
                  <c:v>93.659772351816713</c:v>
                </c:pt>
                <c:pt idx="70">
                  <c:v>93.691858673856103</c:v>
                </c:pt>
                <c:pt idx="71">
                  <c:v>93.722620237292261</c:v>
                </c:pt>
                <c:pt idx="72">
                  <c:v>93.75211055945671</c:v>
                </c:pt>
                <c:pt idx="73">
                  <c:v>93.780380325370245</c:v>
                </c:pt>
                <c:pt idx="74">
                  <c:v>93.80747757265506</c:v>
                </c:pt>
                <c:pt idx="75">
                  <c:v>93.833447862146713</c:v>
                </c:pt>
                <c:pt idx="76">
                  <c:v>93.858334435479946</c:v>
                </c:pt>
                <c:pt idx="77">
                  <c:v>93.882178360793958</c:v>
                </c:pt>
                <c:pt idx="78">
                  <c:v>93.905018667589204</c:v>
                </c:pt>
                <c:pt idx="79">
                  <c:v>93.926892471666392</c:v>
                </c:pt>
                <c:pt idx="80">
                  <c:v>93.94783509098859</c:v>
                </c:pt>
                <c:pt idx="81">
                  <c:v>93.967880153226162</c:v>
                </c:pt>
                <c:pt idx="82">
                  <c:v>93.987059695673324</c:v>
                </c:pt>
                <c:pt idx="83">
                  <c:v>94.005404258159828</c:v>
                </c:pt>
                <c:pt idx="84">
                  <c:v>94.022942969524422</c:v>
                </c:pt>
                <c:pt idx="85">
                  <c:v>94.039703628164375</c:v>
                </c:pt>
                <c:pt idx="86">
                  <c:v>94.055712777129216</c:v>
                </c:pt>
                <c:pt idx="87">
                  <c:v>94.070995774185334</c:v>
                </c:pt>
                <c:pt idx="88">
                  <c:v>94.085576857239445</c:v>
                </c:pt>
                <c:pt idx="89">
                  <c:v>94.0994792054762</c:v>
                </c:pt>
                <c:pt idx="90">
                  <c:v>94.112724996533771</c:v>
                </c:pt>
                <c:pt idx="91">
                  <c:v>94.125335460013687</c:v>
                </c:pt>
                <c:pt idx="92">
                  <c:v>94.137330927596295</c:v>
                </c:pt>
                <c:pt idx="93">
                  <c:v>94.14873088001049</c:v>
                </c:pt>
                <c:pt idx="94">
                  <c:v>94.159553991085517</c:v>
                </c:pt>
                <c:pt idx="95">
                  <c:v>94.169818169094412</c:v>
                </c:pt>
                <c:pt idx="96">
                  <c:v>94.179540595581088</c:v>
                </c:pt>
                <c:pt idx="97">
                  <c:v>94.188737761848216</c:v>
                </c:pt>
                <c:pt idx="98">
                  <c:v>94.197425503268519</c:v>
                </c:pt>
                <c:pt idx="99">
                  <c:v>94.205619031569483</c:v>
                </c:pt>
                <c:pt idx="100">
                  <c:v>94.213332965229895</c:v>
                </c:pt>
                <c:pt idx="101">
                  <c:v>94.22058135811568</c:v>
                </c:pt>
                <c:pt idx="102">
                  <c:v>94.227377726472881</c:v>
                </c:pt>
                <c:pt idx="103">
                  <c:v>94.233735074386743</c:v>
                </c:pt>
                <c:pt idx="104">
                  <c:v>94.239665917807685</c:v>
                </c:pt>
                <c:pt idx="105">
                  <c:v>94.245182307237272</c:v>
                </c:pt>
                <c:pt idx="106">
                  <c:v>94.250295849160764</c:v>
                </c:pt>
                <c:pt idx="107">
                  <c:v>94.255017726306065</c:v>
                </c:pt>
                <c:pt idx="108">
                  <c:v>94.259358716803504</c:v>
                </c:pt>
                <c:pt idx="109">
                  <c:v>94.263329212315568</c:v>
                </c:pt>
                <c:pt idx="110">
                  <c:v>94.266939235200212</c:v>
                </c:pt>
                <c:pt idx="111">
                  <c:v>94.270198454767581</c:v>
                </c:pt>
                <c:pt idx="112">
                  <c:v>94.273116202685699</c:v>
                </c:pt>
                <c:pt idx="113">
                  <c:v>94.27570148758619</c:v>
                </c:pt>
                <c:pt idx="114">
                  <c:v>94.277963008918377</c:v>
                </c:pt>
                <c:pt idx="115">
                  <c:v>94.279909170096687</c:v>
                </c:pt>
                <c:pt idx="116">
                  <c:v>94.281548090982497</c:v>
                </c:pt>
                <c:pt idx="117">
                  <c:v>94.282887619739924</c:v>
                </c:pt>
                <c:pt idx="118">
                  <c:v>94.283935344101749</c:v>
                </c:pt>
                <c:pt idx="119">
                  <c:v>94.284698602079231</c:v>
                </c:pt>
                <c:pt idx="120">
                  <c:v>94.285184492147792</c:v>
                </c:pt>
                <c:pt idx="121">
                  <c:v>94.28539988293825</c:v>
                </c:pt>
                <c:pt idx="122">
                  <c:v>94.285351422461289</c:v>
                </c:pt>
                <c:pt idx="123">
                  <c:v>94.285045546891126</c:v>
                </c:pt>
                <c:pt idx="124">
                  <c:v>94.284488488932993</c:v>
                </c:pt>
                <c:pt idx="125">
                  <c:v>94.283686285797089</c:v>
                </c:pt>
                <c:pt idx="126">
                  <c:v>94.282644786800233</c:v>
                </c:pt>
                <c:pt idx="127">
                  <c:v>94.281369660616022</c:v>
                </c:pt>
                <c:pt idx="128">
                  <c:v>94.279866402191232</c:v>
                </c:pt>
                <c:pt idx="129">
                  <c:v>94.278140339347502</c:v>
                </c:pt>
                <c:pt idx="130">
                  <c:v>94.27619663908375</c:v>
                </c:pt>
                <c:pt idx="131">
                  <c:v>94.274040313595776</c:v>
                </c:pt>
                <c:pt idx="132">
                  <c:v>94.271676226027495</c:v>
                </c:pt>
                <c:pt idx="133">
                  <c:v>94.269109095967579</c:v>
                </c:pt>
                <c:pt idx="134">
                  <c:v>94.266343504704608</c:v>
                </c:pt>
                <c:pt idx="135">
                  <c:v>94.263383900253231</c:v>
                </c:pt>
                <c:pt idx="136">
                  <c:v>94.260234602162527</c:v>
                </c:pt>
                <c:pt idx="137">
                  <c:v>94.256899806117815</c:v>
                </c:pt>
                <c:pt idx="138">
                  <c:v>94.253383588345912</c:v>
                </c:pt>
                <c:pt idx="139">
                  <c:v>94.249689909833918</c:v>
                </c:pt>
                <c:pt idx="140">
                  <c:v>94.245822620370305</c:v>
                </c:pt>
                <c:pt idx="141">
                  <c:v>94.24178546241717</c:v>
                </c:pt>
                <c:pt idx="142">
                  <c:v>94.237582074821873</c:v>
                </c:pt>
                <c:pt idx="143">
                  <c:v>94.233215996375691</c:v>
                </c:pt>
                <c:pt idx="144">
                  <c:v>94.228690669226594</c:v>
                </c:pt>
                <c:pt idx="145">
                  <c:v>94.224009442153758</c:v>
                </c:pt>
                <c:pt idx="146">
                  <c:v>94.219175573709293</c:v>
                </c:pt>
                <c:pt idx="147">
                  <c:v>94.214192235234307</c:v>
                </c:pt>
                <c:pt idx="148">
                  <c:v>94.209062513754731</c:v>
                </c:pt>
                <c:pt idx="149">
                  <c:v>94.203789414762454</c:v>
                </c:pt>
                <c:pt idx="150">
                  <c:v>94.198375864887169</c:v>
                </c:pt>
              </c:numCache>
            </c:numRef>
          </c:yVal>
          <c:smooth val="0"/>
          <c:extLst>
            <c:ext xmlns:c16="http://schemas.microsoft.com/office/drawing/2014/chart" uri="{C3380CC4-5D6E-409C-BE32-E72D297353CC}">
              <c16:uniqueId val="{00000000-F850-4D08-8BFC-748D436DD73B}"/>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4.3728822073005456E-2</c:v>
                </c:pt>
                <c:pt idx="2">
                  <c:v>7.8711746261094909E-2</c:v>
                </c:pt>
                <c:pt idx="3">
                  <c:v>0.11393519937480419</c:v>
                </c:pt>
                <c:pt idx="4">
                  <c:v>0.14939918141413333</c:v>
                </c:pt>
                <c:pt idx="5">
                  <c:v>0.18510369237908231</c:v>
                </c:pt>
                <c:pt idx="6">
                  <c:v>0.22104873226965108</c:v>
                </c:pt>
                <c:pt idx="7">
                  <c:v>0.25723430108583978</c:v>
                </c:pt>
                <c:pt idx="8">
                  <c:v>0.29366039882764816</c:v>
                </c:pt>
                <c:pt idx="9">
                  <c:v>0.33032702549507642</c:v>
                </c:pt>
                <c:pt idx="10">
                  <c:v>0.36723418108812461</c:v>
                </c:pt>
                <c:pt idx="11">
                  <c:v>0.40438186560679262</c:v>
                </c:pt>
                <c:pt idx="12">
                  <c:v>0.44177007905108034</c:v>
                </c:pt>
                <c:pt idx="13">
                  <c:v>0.479398821420988</c:v>
                </c:pt>
                <c:pt idx="14">
                  <c:v>0.51726809271651564</c:v>
                </c:pt>
                <c:pt idx="15">
                  <c:v>0.55537789293766271</c:v>
                </c:pt>
                <c:pt idx="16">
                  <c:v>0.59372822208442988</c:v>
                </c:pt>
                <c:pt idx="17">
                  <c:v>0.63231908015681704</c:v>
                </c:pt>
                <c:pt idx="18">
                  <c:v>0.67115046715482363</c:v>
                </c:pt>
                <c:pt idx="19">
                  <c:v>0.71022238307845043</c:v>
                </c:pt>
                <c:pt idx="20">
                  <c:v>0.74953482792769688</c:v>
                </c:pt>
                <c:pt idx="21">
                  <c:v>0.7890878017025631</c:v>
                </c:pt>
                <c:pt idx="22">
                  <c:v>0.82888130440304941</c:v>
                </c:pt>
                <c:pt idx="23">
                  <c:v>0.86891533602915527</c:v>
                </c:pt>
                <c:pt idx="24">
                  <c:v>0.90918989658088112</c:v>
                </c:pt>
                <c:pt idx="25">
                  <c:v>0.94970498605822673</c:v>
                </c:pt>
                <c:pt idx="26">
                  <c:v>0.99046060446119233</c:v>
                </c:pt>
                <c:pt idx="27">
                  <c:v>1.0314567517897777</c:v>
                </c:pt>
                <c:pt idx="28">
                  <c:v>1.072693428043983</c:v>
                </c:pt>
                <c:pt idx="29">
                  <c:v>1.1141706332238077</c:v>
                </c:pt>
                <c:pt idx="30">
                  <c:v>1.1558883673292526</c:v>
                </c:pt>
                <c:pt idx="31">
                  <c:v>1.1978466303603172</c:v>
                </c:pt>
                <c:pt idx="32">
                  <c:v>1.2400454223170017</c:v>
                </c:pt>
                <c:pt idx="33">
                  <c:v>1.2824847431993061</c:v>
                </c:pt>
                <c:pt idx="34">
                  <c:v>1.3251645930072304</c:v>
                </c:pt>
                <c:pt idx="35">
                  <c:v>1.3680849717407744</c:v>
                </c:pt>
                <c:pt idx="36">
                  <c:v>1.4112458793999378</c:v>
                </c:pt>
                <c:pt idx="37">
                  <c:v>1.4546473159847215</c:v>
                </c:pt>
                <c:pt idx="38">
                  <c:v>1.4982892814951254</c:v>
                </c:pt>
                <c:pt idx="39">
                  <c:v>1.5421717759311486</c:v>
                </c:pt>
                <c:pt idx="40">
                  <c:v>1.5862947992927918</c:v>
                </c:pt>
                <c:pt idx="41">
                  <c:v>1.6306583515800548</c:v>
                </c:pt>
                <c:pt idx="42">
                  <c:v>1.6752624327929373</c:v>
                </c:pt>
                <c:pt idx="43">
                  <c:v>1.72010704293144</c:v>
                </c:pt>
                <c:pt idx="44">
                  <c:v>1.7651921819955629</c:v>
                </c:pt>
                <c:pt idx="45">
                  <c:v>1.8105178499853047</c:v>
                </c:pt>
                <c:pt idx="46">
                  <c:v>1.8560840469006674</c:v>
                </c:pt>
                <c:pt idx="47">
                  <c:v>1.9018907727416496</c:v>
                </c:pt>
                <c:pt idx="48">
                  <c:v>1.947938027508251</c:v>
                </c:pt>
                <c:pt idx="49">
                  <c:v>1.9942258112004727</c:v>
                </c:pt>
                <c:pt idx="50">
                  <c:v>2.040754123818314</c:v>
                </c:pt>
                <c:pt idx="51">
                  <c:v>2.0875229653617762</c:v>
                </c:pt>
                <c:pt idx="52">
                  <c:v>2.134532335830857</c:v>
                </c:pt>
                <c:pt idx="53">
                  <c:v>2.1817822352255578</c:v>
                </c:pt>
                <c:pt idx="54">
                  <c:v>2.2292726635458791</c:v>
                </c:pt>
                <c:pt idx="55">
                  <c:v>2.2770036207918194</c:v>
                </c:pt>
                <c:pt idx="56">
                  <c:v>2.3249751069633806</c:v>
                </c:pt>
                <c:pt idx="57">
                  <c:v>2.3731871220605609</c:v>
                </c:pt>
                <c:pt idx="58">
                  <c:v>2.4216396660833603</c:v>
                </c:pt>
                <c:pt idx="59">
                  <c:v>2.4703327390317802</c:v>
                </c:pt>
                <c:pt idx="60">
                  <c:v>2.5192663409058205</c:v>
                </c:pt>
                <c:pt idx="61">
                  <c:v>2.5684404717054798</c:v>
                </c:pt>
                <c:pt idx="62">
                  <c:v>2.6178551314307597</c:v>
                </c:pt>
                <c:pt idx="63">
                  <c:v>2.6675103200816594</c:v>
                </c:pt>
                <c:pt idx="64">
                  <c:v>2.7174060376581783</c:v>
                </c:pt>
                <c:pt idx="65">
                  <c:v>2.7675422841603172</c:v>
                </c:pt>
                <c:pt idx="66">
                  <c:v>2.8179190595880761</c:v>
                </c:pt>
                <c:pt idx="67">
                  <c:v>2.8685363639414545</c:v>
                </c:pt>
                <c:pt idx="68">
                  <c:v>2.9193941972204538</c:v>
                </c:pt>
                <c:pt idx="69">
                  <c:v>2.9704925594250726</c:v>
                </c:pt>
                <c:pt idx="70">
                  <c:v>3.0218314505553105</c:v>
                </c:pt>
                <c:pt idx="71">
                  <c:v>3.073410870611168</c:v>
                </c:pt>
                <c:pt idx="72">
                  <c:v>3.1252308195926455</c:v>
                </c:pt>
                <c:pt idx="73">
                  <c:v>3.1772912974997434</c:v>
                </c:pt>
                <c:pt idx="74">
                  <c:v>3.2295923043324608</c:v>
                </c:pt>
                <c:pt idx="75">
                  <c:v>3.2821338400907987</c:v>
                </c:pt>
                <c:pt idx="76">
                  <c:v>3.3349159047747565</c:v>
                </c:pt>
                <c:pt idx="77">
                  <c:v>3.387938498384333</c:v>
                </c:pt>
                <c:pt idx="78">
                  <c:v>3.4412016209195304</c:v>
                </c:pt>
                <c:pt idx="79">
                  <c:v>3.4947052723803465</c:v>
                </c:pt>
                <c:pt idx="80">
                  <c:v>3.5484494527667838</c:v>
                </c:pt>
                <c:pt idx="81">
                  <c:v>3.6024341620788394</c:v>
                </c:pt>
                <c:pt idx="82">
                  <c:v>3.6566594003165163</c:v>
                </c:pt>
                <c:pt idx="83">
                  <c:v>3.7111251674798122</c:v>
                </c:pt>
                <c:pt idx="84">
                  <c:v>3.7658314635687269</c:v>
                </c:pt>
                <c:pt idx="85">
                  <c:v>3.8207782885832633</c:v>
                </c:pt>
                <c:pt idx="86">
                  <c:v>3.8759656425234188</c:v>
                </c:pt>
                <c:pt idx="87">
                  <c:v>3.9313935253891943</c:v>
                </c:pt>
                <c:pt idx="88">
                  <c:v>3.9870619371805902</c:v>
                </c:pt>
                <c:pt idx="89">
                  <c:v>4.0429708778976057</c:v>
                </c:pt>
                <c:pt idx="90">
                  <c:v>4.0991203475402394</c:v>
                </c:pt>
                <c:pt idx="91">
                  <c:v>4.1555103461084943</c:v>
                </c:pt>
                <c:pt idx="92">
                  <c:v>4.2121408736023689</c:v>
                </c:pt>
                <c:pt idx="93">
                  <c:v>4.269011930021863</c:v>
                </c:pt>
                <c:pt idx="94">
                  <c:v>4.3261235153669784</c:v>
                </c:pt>
                <c:pt idx="95">
                  <c:v>4.3834756296377124</c:v>
                </c:pt>
                <c:pt idx="96">
                  <c:v>4.441068272834066</c:v>
                </c:pt>
                <c:pt idx="97">
                  <c:v>4.4989014449560392</c:v>
                </c:pt>
                <c:pt idx="98">
                  <c:v>4.5569751460036327</c:v>
                </c:pt>
                <c:pt idx="99">
                  <c:v>4.6152893759768459</c:v>
                </c:pt>
                <c:pt idx="100">
                  <c:v>4.6738441348756794</c:v>
                </c:pt>
                <c:pt idx="101">
                  <c:v>4.7326394227001334</c:v>
                </c:pt>
                <c:pt idx="102">
                  <c:v>4.791675239450206</c:v>
                </c:pt>
                <c:pt idx="103">
                  <c:v>4.8509515851258982</c:v>
                </c:pt>
                <c:pt idx="104">
                  <c:v>4.9104684597272108</c:v>
                </c:pt>
                <c:pt idx="105">
                  <c:v>4.9702258632541438</c:v>
                </c:pt>
                <c:pt idx="106">
                  <c:v>5.0302237957066955</c:v>
                </c:pt>
                <c:pt idx="107">
                  <c:v>5.0904622570848677</c:v>
                </c:pt>
                <c:pt idx="108">
                  <c:v>5.1509412473886602</c:v>
                </c:pt>
                <c:pt idx="109">
                  <c:v>5.2116607666180723</c:v>
                </c:pt>
                <c:pt idx="110">
                  <c:v>5.2726208147731031</c:v>
                </c:pt>
                <c:pt idx="111">
                  <c:v>5.3338213918537551</c:v>
                </c:pt>
                <c:pt idx="112">
                  <c:v>5.3952624978600277</c:v>
                </c:pt>
                <c:pt idx="113">
                  <c:v>5.456944132791917</c:v>
                </c:pt>
                <c:pt idx="114">
                  <c:v>5.5188662966494295</c:v>
                </c:pt>
                <c:pt idx="115">
                  <c:v>5.5810289894325598</c:v>
                </c:pt>
                <c:pt idx="116">
                  <c:v>5.6434322111413078</c:v>
                </c:pt>
                <c:pt idx="117">
                  <c:v>5.7060759617756789</c:v>
                </c:pt>
                <c:pt idx="118">
                  <c:v>5.7689602413356695</c:v>
                </c:pt>
                <c:pt idx="119">
                  <c:v>5.8320850498212806</c:v>
                </c:pt>
                <c:pt idx="120">
                  <c:v>5.8954503872325104</c:v>
                </c:pt>
                <c:pt idx="121">
                  <c:v>5.9590562535693579</c:v>
                </c:pt>
                <c:pt idx="122">
                  <c:v>6.0229026488318294</c:v>
                </c:pt>
                <c:pt idx="123">
                  <c:v>6.0869895730199177</c:v>
                </c:pt>
                <c:pt idx="124">
                  <c:v>6.1513170261336283</c:v>
                </c:pt>
                <c:pt idx="125">
                  <c:v>6.2158850081729566</c:v>
                </c:pt>
                <c:pt idx="126">
                  <c:v>6.2806935191379072</c:v>
                </c:pt>
                <c:pt idx="127">
                  <c:v>6.3457425590284764</c:v>
                </c:pt>
                <c:pt idx="128">
                  <c:v>6.4110321278446634</c:v>
                </c:pt>
                <c:pt idx="129">
                  <c:v>6.4765622255864734</c:v>
                </c:pt>
                <c:pt idx="130">
                  <c:v>6.5423328522538995</c:v>
                </c:pt>
                <c:pt idx="131">
                  <c:v>6.6083440078469478</c:v>
                </c:pt>
                <c:pt idx="132">
                  <c:v>6.6745956923656165</c:v>
                </c:pt>
                <c:pt idx="133">
                  <c:v>6.7410879058099038</c:v>
                </c:pt>
                <c:pt idx="134">
                  <c:v>6.8078206481798116</c:v>
                </c:pt>
                <c:pt idx="135">
                  <c:v>6.8747939194753389</c:v>
                </c:pt>
                <c:pt idx="136">
                  <c:v>6.9420077196964876</c:v>
                </c:pt>
                <c:pt idx="137">
                  <c:v>7.009462048843254</c:v>
                </c:pt>
                <c:pt idx="138">
                  <c:v>7.0771569069156417</c:v>
                </c:pt>
                <c:pt idx="139">
                  <c:v>7.145092293913649</c:v>
                </c:pt>
                <c:pt idx="140">
                  <c:v>7.2132682098372758</c:v>
                </c:pt>
                <c:pt idx="141">
                  <c:v>7.2816846546865222</c:v>
                </c:pt>
                <c:pt idx="142">
                  <c:v>7.3503416284613863</c:v>
                </c:pt>
                <c:pt idx="143">
                  <c:v>7.4192391311618735</c:v>
                </c:pt>
                <c:pt idx="144">
                  <c:v>7.4883771627879785</c:v>
                </c:pt>
                <c:pt idx="145">
                  <c:v>7.5577557233397048</c:v>
                </c:pt>
                <c:pt idx="146">
                  <c:v>7.6273748128170507</c:v>
                </c:pt>
                <c:pt idx="147">
                  <c:v>7.697234431220016</c:v>
                </c:pt>
                <c:pt idx="148">
                  <c:v>7.767334578548601</c:v>
                </c:pt>
                <c:pt idx="149">
                  <c:v>7.8376752548028064</c:v>
                </c:pt>
                <c:pt idx="150">
                  <c:v>7.9082564599826313</c:v>
                </c:pt>
              </c:numCache>
            </c:numRef>
          </c:yVal>
          <c:smooth val="1"/>
          <c:extLst>
            <c:ext xmlns:c16="http://schemas.microsoft.com/office/drawing/2014/chart" uri="{C3380CC4-5D6E-409C-BE32-E72D297353CC}">
              <c16:uniqueId val="{00000001-F850-4D08-8BFC-748D436DD73B}"/>
            </c:ext>
          </c:extLst>
        </c:ser>
        <c:ser>
          <c:idx val="2"/>
          <c:order val="2"/>
          <c:tx>
            <c:v>Diode</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2.4176791697319411</c:v>
                </c:pt>
                <c:pt idx="1">
                  <c:v>2.4200448424592138</c:v>
                </c:pt>
                <c:pt idx="2">
                  <c:v>2.4224727697319413</c:v>
                </c:pt>
                <c:pt idx="3">
                  <c:v>2.424962951550123</c:v>
                </c:pt>
                <c:pt idx="4">
                  <c:v>2.427515387913759</c:v>
                </c:pt>
                <c:pt idx="5">
                  <c:v>2.4301300788228501</c:v>
                </c:pt>
                <c:pt idx="6">
                  <c:v>2.4328070242773956</c:v>
                </c:pt>
                <c:pt idx="7">
                  <c:v>2.4355462242773958</c:v>
                </c:pt>
                <c:pt idx="8">
                  <c:v>2.4383476788228502</c:v>
                </c:pt>
                <c:pt idx="9">
                  <c:v>2.4412113879137589</c:v>
                </c:pt>
                <c:pt idx="10">
                  <c:v>2.4441373515501232</c:v>
                </c:pt>
                <c:pt idx="11">
                  <c:v>2.4471255697319414</c:v>
                </c:pt>
                <c:pt idx="12">
                  <c:v>2.4501760424592138</c:v>
                </c:pt>
                <c:pt idx="13">
                  <c:v>2.453288769731941</c:v>
                </c:pt>
                <c:pt idx="14">
                  <c:v>2.4564637515501229</c:v>
                </c:pt>
                <c:pt idx="15">
                  <c:v>2.4597009879137595</c:v>
                </c:pt>
                <c:pt idx="16">
                  <c:v>2.4630004788228503</c:v>
                </c:pt>
                <c:pt idx="17">
                  <c:v>2.4663622242773955</c:v>
                </c:pt>
                <c:pt idx="18">
                  <c:v>2.4697862242773954</c:v>
                </c:pt>
                <c:pt idx="19">
                  <c:v>2.47327247882285</c:v>
                </c:pt>
                <c:pt idx="20">
                  <c:v>2.4768209879137588</c:v>
                </c:pt>
                <c:pt idx="21">
                  <c:v>2.4804317515501229</c:v>
                </c:pt>
                <c:pt idx="22">
                  <c:v>2.4841047697319412</c:v>
                </c:pt>
                <c:pt idx="23">
                  <c:v>2.4878400424592138</c:v>
                </c:pt>
                <c:pt idx="24">
                  <c:v>2.4916375697319411</c:v>
                </c:pt>
                <c:pt idx="25">
                  <c:v>2.4954973515501226</c:v>
                </c:pt>
                <c:pt idx="26">
                  <c:v>2.4994193879137594</c:v>
                </c:pt>
                <c:pt idx="27">
                  <c:v>2.5034036788228504</c:v>
                </c:pt>
                <c:pt idx="28">
                  <c:v>2.5074502242773957</c:v>
                </c:pt>
                <c:pt idx="29">
                  <c:v>2.5115590242773953</c:v>
                </c:pt>
                <c:pt idx="30">
                  <c:v>2.51573007882285</c:v>
                </c:pt>
                <c:pt idx="31">
                  <c:v>2.5199633879137595</c:v>
                </c:pt>
                <c:pt idx="32">
                  <c:v>2.5242589515501228</c:v>
                </c:pt>
                <c:pt idx="33">
                  <c:v>2.5286167697319413</c:v>
                </c:pt>
                <c:pt idx="34">
                  <c:v>2.5330368424592136</c:v>
                </c:pt>
                <c:pt idx="35">
                  <c:v>2.537519169731941</c:v>
                </c:pt>
                <c:pt idx="36">
                  <c:v>2.5420637515501232</c:v>
                </c:pt>
                <c:pt idx="37">
                  <c:v>2.5466705879137592</c:v>
                </c:pt>
                <c:pt idx="38">
                  <c:v>2.55133967882285</c:v>
                </c:pt>
                <c:pt idx="39">
                  <c:v>2.5560710242773954</c:v>
                </c:pt>
                <c:pt idx="40">
                  <c:v>2.5608646242773956</c:v>
                </c:pt>
                <c:pt idx="41">
                  <c:v>2.5657204788228505</c:v>
                </c:pt>
                <c:pt idx="42">
                  <c:v>2.5706385879137592</c:v>
                </c:pt>
                <c:pt idx="43">
                  <c:v>2.5756189515501227</c:v>
                </c:pt>
                <c:pt idx="44">
                  <c:v>2.5806615697319408</c:v>
                </c:pt>
                <c:pt idx="45">
                  <c:v>2.5857664424592137</c:v>
                </c:pt>
                <c:pt idx="46">
                  <c:v>2.5909335697319413</c:v>
                </c:pt>
                <c:pt idx="47">
                  <c:v>2.5961629515501228</c:v>
                </c:pt>
                <c:pt idx="48">
                  <c:v>2.6014545879137594</c:v>
                </c:pt>
                <c:pt idx="49">
                  <c:v>2.6068084788228503</c:v>
                </c:pt>
                <c:pt idx="50">
                  <c:v>2.6122246242773954</c:v>
                </c:pt>
                <c:pt idx="51">
                  <c:v>2.6177030242773958</c:v>
                </c:pt>
                <c:pt idx="52">
                  <c:v>2.6232436788228504</c:v>
                </c:pt>
                <c:pt idx="53">
                  <c:v>2.6288465879137592</c:v>
                </c:pt>
                <c:pt idx="54">
                  <c:v>2.6345117515501228</c:v>
                </c:pt>
                <c:pt idx="55">
                  <c:v>2.6402391697319407</c:v>
                </c:pt>
                <c:pt idx="56">
                  <c:v>2.6460288424592142</c:v>
                </c:pt>
                <c:pt idx="57">
                  <c:v>2.6518807697319411</c:v>
                </c:pt>
                <c:pt idx="58">
                  <c:v>2.6577949515501231</c:v>
                </c:pt>
                <c:pt idx="59">
                  <c:v>2.663771387913759</c:v>
                </c:pt>
                <c:pt idx="60">
                  <c:v>2.66981007882285</c:v>
                </c:pt>
                <c:pt idx="61">
                  <c:v>2.6759110242773958</c:v>
                </c:pt>
                <c:pt idx="62">
                  <c:v>2.6820742242773958</c:v>
                </c:pt>
                <c:pt idx="63">
                  <c:v>2.6882996788228501</c:v>
                </c:pt>
                <c:pt idx="64">
                  <c:v>2.6945873879137592</c:v>
                </c:pt>
                <c:pt idx="65">
                  <c:v>2.7009373515501229</c:v>
                </c:pt>
                <c:pt idx="66">
                  <c:v>2.7073495697319414</c:v>
                </c:pt>
                <c:pt idx="67">
                  <c:v>2.7138240424592137</c:v>
                </c:pt>
                <c:pt idx="68">
                  <c:v>2.7203607697319412</c:v>
                </c:pt>
                <c:pt idx="69">
                  <c:v>2.7269597515501229</c:v>
                </c:pt>
                <c:pt idx="70">
                  <c:v>2.733620987913759</c:v>
                </c:pt>
                <c:pt idx="71">
                  <c:v>2.7403444788228501</c:v>
                </c:pt>
                <c:pt idx="72">
                  <c:v>2.7471302242773956</c:v>
                </c:pt>
                <c:pt idx="73">
                  <c:v>2.7539782242773958</c:v>
                </c:pt>
                <c:pt idx="74">
                  <c:v>2.7608884788228498</c:v>
                </c:pt>
                <c:pt idx="75">
                  <c:v>2.767860987913759</c:v>
                </c:pt>
                <c:pt idx="76">
                  <c:v>2.7748957515501234</c:v>
                </c:pt>
                <c:pt idx="77">
                  <c:v>2.7819927697319411</c:v>
                </c:pt>
                <c:pt idx="78">
                  <c:v>2.789152042459214</c:v>
                </c:pt>
                <c:pt idx="79">
                  <c:v>2.7963735697319412</c:v>
                </c:pt>
                <c:pt idx="80">
                  <c:v>2.8036573515501226</c:v>
                </c:pt>
                <c:pt idx="81">
                  <c:v>2.8110033879137593</c:v>
                </c:pt>
                <c:pt idx="82">
                  <c:v>2.8184116788228506</c:v>
                </c:pt>
                <c:pt idx="83">
                  <c:v>2.8258822242773958</c:v>
                </c:pt>
                <c:pt idx="84">
                  <c:v>2.8334150242773952</c:v>
                </c:pt>
                <c:pt idx="85">
                  <c:v>2.8410100788228498</c:v>
                </c:pt>
                <c:pt idx="86">
                  <c:v>2.8486673879137596</c:v>
                </c:pt>
                <c:pt idx="87">
                  <c:v>2.8563869515501232</c:v>
                </c:pt>
                <c:pt idx="88">
                  <c:v>2.8641687697319411</c:v>
                </c:pt>
                <c:pt idx="89">
                  <c:v>2.8720128424592137</c:v>
                </c:pt>
                <c:pt idx="90">
                  <c:v>2.8799191697319411</c:v>
                </c:pt>
                <c:pt idx="91">
                  <c:v>2.8878877515501227</c:v>
                </c:pt>
                <c:pt idx="92">
                  <c:v>2.8959185879137594</c:v>
                </c:pt>
                <c:pt idx="93">
                  <c:v>2.9040116788228501</c:v>
                </c:pt>
                <c:pt idx="94">
                  <c:v>2.9121670242773958</c:v>
                </c:pt>
                <c:pt idx="95">
                  <c:v>2.9203846242773954</c:v>
                </c:pt>
                <c:pt idx="96">
                  <c:v>2.9286644788228502</c:v>
                </c:pt>
                <c:pt idx="97">
                  <c:v>2.9370065879137597</c:v>
                </c:pt>
                <c:pt idx="98">
                  <c:v>2.945410951550123</c:v>
                </c:pt>
                <c:pt idx="99">
                  <c:v>2.953877569731941</c:v>
                </c:pt>
                <c:pt idx="100">
                  <c:v>2.9624064424592138</c:v>
                </c:pt>
                <c:pt idx="101">
                  <c:v>2.9709975697319413</c:v>
                </c:pt>
                <c:pt idx="102">
                  <c:v>2.9796509515501231</c:v>
                </c:pt>
                <c:pt idx="103">
                  <c:v>2.9883665879137595</c:v>
                </c:pt>
                <c:pt idx="104">
                  <c:v>2.9971444788228503</c:v>
                </c:pt>
                <c:pt idx="105">
                  <c:v>3.0059846242773953</c:v>
                </c:pt>
                <c:pt idx="106">
                  <c:v>3.0148870242773955</c:v>
                </c:pt>
                <c:pt idx="107">
                  <c:v>3.0238516788228504</c:v>
                </c:pt>
                <c:pt idx="108">
                  <c:v>3.0328785879137592</c:v>
                </c:pt>
                <c:pt idx="109">
                  <c:v>3.0419677515501227</c:v>
                </c:pt>
                <c:pt idx="110">
                  <c:v>3.0511191697319409</c:v>
                </c:pt>
                <c:pt idx="111">
                  <c:v>3.0603328424592142</c:v>
                </c:pt>
                <c:pt idx="112">
                  <c:v>3.0696087697319414</c:v>
                </c:pt>
                <c:pt idx="113">
                  <c:v>3.0789469515501229</c:v>
                </c:pt>
                <c:pt idx="114">
                  <c:v>3.0883473879137595</c:v>
                </c:pt>
                <c:pt idx="115">
                  <c:v>3.09781007882285</c:v>
                </c:pt>
                <c:pt idx="116">
                  <c:v>3.1073350242773956</c:v>
                </c:pt>
                <c:pt idx="117">
                  <c:v>3.116922224277396</c:v>
                </c:pt>
                <c:pt idx="118">
                  <c:v>3.1265716788228501</c:v>
                </c:pt>
                <c:pt idx="119">
                  <c:v>3.1362833879137595</c:v>
                </c:pt>
                <c:pt idx="120">
                  <c:v>3.1460573515501227</c:v>
                </c:pt>
                <c:pt idx="121">
                  <c:v>3.155893569731941</c:v>
                </c:pt>
                <c:pt idx="122">
                  <c:v>3.1657920424592141</c:v>
                </c:pt>
                <c:pt idx="123">
                  <c:v>3.175752769731941</c:v>
                </c:pt>
                <c:pt idx="124">
                  <c:v>3.185775751550123</c:v>
                </c:pt>
                <c:pt idx="125">
                  <c:v>3.1958609879137589</c:v>
                </c:pt>
                <c:pt idx="126">
                  <c:v>3.20600847882285</c:v>
                </c:pt>
                <c:pt idx="127">
                  <c:v>3.2162182242773962</c:v>
                </c:pt>
                <c:pt idx="128">
                  <c:v>3.2264902242773958</c:v>
                </c:pt>
                <c:pt idx="129">
                  <c:v>3.2368244788228502</c:v>
                </c:pt>
                <c:pt idx="130">
                  <c:v>3.2472209879137592</c:v>
                </c:pt>
                <c:pt idx="131">
                  <c:v>3.257679751550123</c:v>
                </c:pt>
                <c:pt idx="132">
                  <c:v>3.2682007697319415</c:v>
                </c:pt>
                <c:pt idx="133">
                  <c:v>3.2787840424592138</c:v>
                </c:pt>
                <c:pt idx="134">
                  <c:v>3.2894295697319413</c:v>
                </c:pt>
                <c:pt idx="135">
                  <c:v>3.3001373515501227</c:v>
                </c:pt>
                <c:pt idx="136">
                  <c:v>3.3109073879137592</c:v>
                </c:pt>
                <c:pt idx="137">
                  <c:v>3.3217396788228504</c:v>
                </c:pt>
                <c:pt idx="138">
                  <c:v>3.3326342242773959</c:v>
                </c:pt>
                <c:pt idx="139">
                  <c:v>3.3435910242773956</c:v>
                </c:pt>
                <c:pt idx="140">
                  <c:v>3.3546100788228501</c:v>
                </c:pt>
                <c:pt idx="141">
                  <c:v>3.3656913879137593</c:v>
                </c:pt>
                <c:pt idx="142">
                  <c:v>3.3768349515501228</c:v>
                </c:pt>
                <c:pt idx="143">
                  <c:v>3.388040769731941</c:v>
                </c:pt>
                <c:pt idx="144">
                  <c:v>3.3993088424592135</c:v>
                </c:pt>
                <c:pt idx="145">
                  <c:v>3.4106391697319411</c:v>
                </c:pt>
                <c:pt idx="146">
                  <c:v>3.4220317515501226</c:v>
                </c:pt>
                <c:pt idx="147">
                  <c:v>3.4334865879137588</c:v>
                </c:pt>
                <c:pt idx="148">
                  <c:v>3.4450036788228502</c:v>
                </c:pt>
                <c:pt idx="149">
                  <c:v>3.4565830242773958</c:v>
                </c:pt>
                <c:pt idx="150">
                  <c:v>3.4682246242773958</c:v>
                </c:pt>
              </c:numCache>
            </c:numRef>
          </c:yVal>
          <c:smooth val="1"/>
          <c:extLst>
            <c:ext xmlns:c16="http://schemas.microsoft.com/office/drawing/2014/chart" uri="{C3380CC4-5D6E-409C-BE32-E72D297353CC}">
              <c16:uniqueId val="{00000002-F850-4D08-8BFC-748D436DD73B}"/>
            </c:ext>
          </c:extLst>
        </c:ser>
        <c:ser>
          <c:idx val="3"/>
          <c:order val="3"/>
          <c:tx>
            <c:v>RCS</c:v>
          </c:tx>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F850-4D08-8BFC-748D436DD73B}"/>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DE"/>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Eff_vs_IOUT!$AW$7:$AW$157</c:f>
              <c:numCache>
                <c:formatCode>General</c:formatCode>
                <c:ptCount val="151"/>
                <c:pt idx="0">
                  <c:v>0</c:v>
                </c:pt>
                <c:pt idx="1">
                  <c:v>27.424993977551054</c:v>
                </c:pt>
                <c:pt idx="2">
                  <c:v>42.8805960352393</c:v>
                </c:pt>
                <c:pt idx="3">
                  <c:v>52.795737676346924</c:v>
                </c:pt>
                <c:pt idx="4">
                  <c:v>59.694393716566616</c:v>
                </c:pt>
                <c:pt idx="5">
                  <c:v>64.769575408915699</c:v>
                </c:pt>
                <c:pt idx="6">
                  <c:v>68.658461829425391</c:v>
                </c:pt>
                <c:pt idx="7">
                  <c:v>71.732336560431449</c:v>
                </c:pt>
                <c:pt idx="8">
                  <c:v>74.222183009443413</c:v>
                </c:pt>
                <c:pt idx="9">
                  <c:v>76.279234799984621</c:v>
                </c:pt>
                <c:pt idx="10">
                  <c:v>78.006659208204482</c:v>
                </c:pt>
                <c:pt idx="11">
                  <c:v>79.477247597241757</c:v>
                </c:pt>
                <c:pt idx="12">
                  <c:v>80.743828535848877</c:v>
                </c:pt>
                <c:pt idx="13">
                  <c:v>81.845672121166018</c:v>
                </c:pt>
                <c:pt idx="14">
                  <c:v>82.812577449188041</c:v>
                </c:pt>
                <c:pt idx="15">
                  <c:v>83.667565472988485</c:v>
                </c:pt>
                <c:pt idx="16">
                  <c:v>84.428702514900664</c:v>
                </c:pt>
                <c:pt idx="17">
                  <c:v>85.110365144735894</c:v>
                </c:pt>
                <c:pt idx="18">
                  <c:v>85.724136385689334</c:v>
                </c:pt>
                <c:pt idx="19">
                  <c:v>86.279452805849687</c:v>
                </c:pt>
                <c:pt idx="20">
                  <c:v>86.784079704496136</c:v>
                </c:pt>
                <c:pt idx="21">
                  <c:v>87.244465413566957</c:v>
                </c:pt>
                <c:pt idx="22">
                  <c:v>87.666009132840259</c:v>
                </c:pt>
                <c:pt idx="23">
                  <c:v>88.053265955438292</c:v>
                </c:pt>
                <c:pt idx="24">
                  <c:v>88.410105621590944</c:v>
                </c:pt>
                <c:pt idx="25">
                  <c:v>88.739836742453477</c:v>
                </c:pt>
                <c:pt idx="26">
                  <c:v>89.045304949678439</c:v>
                </c:pt>
                <c:pt idx="27">
                  <c:v>89.328971139990372</c:v>
                </c:pt>
                <c:pt idx="28">
                  <c:v>89.592974370366534</c:v>
                </c:pt>
                <c:pt idx="29">
                  <c:v>89.839182805576797</c:v>
                </c:pt>
                <c:pt idx="30">
                  <c:v>90.069235284676452</c:v>
                </c:pt>
                <c:pt idx="31">
                  <c:v>90.28457546168552</c:v>
                </c:pt>
                <c:pt idx="32">
                  <c:v>90.486480023420796</c:v>
                </c:pt>
                <c:pt idx="33">
                  <c:v>90.676082149563328</c:v>
                </c:pt>
                <c:pt idx="34">
                  <c:v>90.854391125278937</c:v>
                </c:pt>
                <c:pt idx="35">
                  <c:v>91.022308822950023</c:v>
                </c:pt>
                <c:pt idx="36">
                  <c:v>91.180643621011299</c:v>
                </c:pt>
                <c:pt idx="37">
                  <c:v>91.330122213093432</c:v>
                </c:pt>
                <c:pt idx="38">
                  <c:v>91.471399671345495</c:v>
                </c:pt>
                <c:pt idx="39">
                  <c:v>91.605068057807443</c:v>
                </c:pt>
                <c:pt idx="40">
                  <c:v>91.731663822497381</c:v>
                </c:pt>
                <c:pt idx="41">
                  <c:v>91.851674183072788</c:v>
                </c:pt>
                <c:pt idx="42">
                  <c:v>91.965542645960156</c:v>
                </c:pt>
                <c:pt idx="43">
                  <c:v>92.073673800787887</c:v>
                </c:pt>
                <c:pt idx="44">
                  <c:v>92.176437497316627</c:v>
                </c:pt>
                <c:pt idx="45">
                  <c:v>92.274172495704505</c:v>
                </c:pt>
                <c:pt idx="46">
                  <c:v>92.367189665986828</c:v>
                </c:pt>
                <c:pt idx="47">
                  <c:v>92.455774800408065</c:v>
                </c:pt>
                <c:pt idx="48">
                  <c:v>92.540191092179612</c:v>
                </c:pt>
                <c:pt idx="49">
                  <c:v>92.620681325928246</c:v>
                </c:pt>
                <c:pt idx="50">
                  <c:v>92.697469818214245</c:v>
                </c:pt>
                <c:pt idx="51">
                  <c:v>92.770764140768193</c:v>
                </c:pt>
                <c:pt idx="52">
                  <c:v>92.84075665431051</c:v>
                </c:pt>
                <c:pt idx="53">
                  <c:v>92.907625876807231</c:v>
                </c:pt>
                <c:pt idx="54">
                  <c:v>92.9715377066439</c:v>
                </c:pt>
                <c:pt idx="55">
                  <c:v>93.03264651835299</c:v>
                </c:pt>
                <c:pt idx="56">
                  <c:v>93.091096146122908</c:v>
                </c:pt>
                <c:pt idx="57">
                  <c:v>93.147020768271858</c:v>
                </c:pt>
                <c:pt idx="58">
                  <c:v>93.200545704128885</c:v>
                </c:pt>
                <c:pt idx="59">
                  <c:v>93.251788133278168</c:v>
                </c:pt>
                <c:pt idx="60">
                  <c:v>93.300857745850195</c:v>
                </c:pt>
                <c:pt idx="61">
                  <c:v>93.347857331450669</c:v>
                </c:pt>
                <c:pt idx="62">
                  <c:v>93.392883313377567</c:v>
                </c:pt>
                <c:pt idx="63">
                  <c:v>93.436026233966246</c:v>
                </c:pt>
                <c:pt idx="64">
                  <c:v>93.477371196200039</c:v>
                </c:pt>
                <c:pt idx="65">
                  <c:v>93.516998266116218</c:v>
                </c:pt>
                <c:pt idx="66">
                  <c:v>93.554982840008606</c:v>
                </c:pt>
                <c:pt idx="67">
                  <c:v>93.591395979968226</c:v>
                </c:pt>
                <c:pt idx="68">
                  <c:v>93.626304720901686</c:v>
                </c:pt>
                <c:pt idx="69">
                  <c:v>93.659772351816713</c:v>
                </c:pt>
                <c:pt idx="70">
                  <c:v>93.691858673856103</c:v>
                </c:pt>
                <c:pt idx="71">
                  <c:v>93.722620237292261</c:v>
                </c:pt>
                <c:pt idx="72">
                  <c:v>93.75211055945671</c:v>
                </c:pt>
                <c:pt idx="73">
                  <c:v>93.780380325370245</c:v>
                </c:pt>
                <c:pt idx="74">
                  <c:v>93.80747757265506</c:v>
                </c:pt>
                <c:pt idx="75">
                  <c:v>93.833447862146713</c:v>
                </c:pt>
                <c:pt idx="76">
                  <c:v>93.858334435479946</c:v>
                </c:pt>
                <c:pt idx="77">
                  <c:v>93.882178360793958</c:v>
                </c:pt>
                <c:pt idx="78">
                  <c:v>93.905018667589204</c:v>
                </c:pt>
                <c:pt idx="79">
                  <c:v>93.926892471666392</c:v>
                </c:pt>
                <c:pt idx="80">
                  <c:v>93.94783509098859</c:v>
                </c:pt>
                <c:pt idx="81">
                  <c:v>93.967880153226162</c:v>
                </c:pt>
                <c:pt idx="82">
                  <c:v>93.987059695673324</c:v>
                </c:pt>
                <c:pt idx="83">
                  <c:v>94.005404258159828</c:v>
                </c:pt>
                <c:pt idx="84">
                  <c:v>94.022942969524422</c:v>
                </c:pt>
                <c:pt idx="85">
                  <c:v>94.039703628164375</c:v>
                </c:pt>
                <c:pt idx="86">
                  <c:v>94.055712777129216</c:v>
                </c:pt>
                <c:pt idx="87">
                  <c:v>94.070995774185334</c:v>
                </c:pt>
                <c:pt idx="88">
                  <c:v>94.085576857239445</c:v>
                </c:pt>
                <c:pt idx="89">
                  <c:v>94.0994792054762</c:v>
                </c:pt>
                <c:pt idx="90">
                  <c:v>94.112724996533771</c:v>
                </c:pt>
                <c:pt idx="91">
                  <c:v>94.125335460013687</c:v>
                </c:pt>
                <c:pt idx="92">
                  <c:v>94.137330927596295</c:v>
                </c:pt>
                <c:pt idx="93">
                  <c:v>94.14873088001049</c:v>
                </c:pt>
                <c:pt idx="94">
                  <c:v>94.159553991085517</c:v>
                </c:pt>
                <c:pt idx="95">
                  <c:v>94.169818169094412</c:v>
                </c:pt>
                <c:pt idx="96">
                  <c:v>94.179540595581088</c:v>
                </c:pt>
                <c:pt idx="97">
                  <c:v>94.188737761848216</c:v>
                </c:pt>
                <c:pt idx="98">
                  <c:v>94.197425503268519</c:v>
                </c:pt>
                <c:pt idx="99">
                  <c:v>94.205619031569483</c:v>
                </c:pt>
                <c:pt idx="100">
                  <c:v>94.213332965229895</c:v>
                </c:pt>
                <c:pt idx="101">
                  <c:v>94.22058135811568</c:v>
                </c:pt>
                <c:pt idx="102">
                  <c:v>94.227377726472881</c:v>
                </c:pt>
                <c:pt idx="103">
                  <c:v>94.233735074386743</c:v>
                </c:pt>
                <c:pt idx="104">
                  <c:v>94.239665917807685</c:v>
                </c:pt>
                <c:pt idx="105">
                  <c:v>94.245182307237272</c:v>
                </c:pt>
                <c:pt idx="106">
                  <c:v>94.250295849160764</c:v>
                </c:pt>
                <c:pt idx="107">
                  <c:v>94.255017726306065</c:v>
                </c:pt>
                <c:pt idx="108">
                  <c:v>94.259358716803504</c:v>
                </c:pt>
                <c:pt idx="109">
                  <c:v>94.263329212315568</c:v>
                </c:pt>
                <c:pt idx="110">
                  <c:v>94.266939235200212</c:v>
                </c:pt>
                <c:pt idx="111">
                  <c:v>94.270198454767581</c:v>
                </c:pt>
                <c:pt idx="112">
                  <c:v>94.273116202685699</c:v>
                </c:pt>
                <c:pt idx="113">
                  <c:v>94.27570148758619</c:v>
                </c:pt>
                <c:pt idx="114">
                  <c:v>94.277963008918377</c:v>
                </c:pt>
                <c:pt idx="115">
                  <c:v>94.279909170096687</c:v>
                </c:pt>
                <c:pt idx="116">
                  <c:v>94.281548090982497</c:v>
                </c:pt>
                <c:pt idx="117">
                  <c:v>94.282887619739924</c:v>
                </c:pt>
                <c:pt idx="118">
                  <c:v>94.283935344101749</c:v>
                </c:pt>
                <c:pt idx="119">
                  <c:v>94.284698602079231</c:v>
                </c:pt>
                <c:pt idx="120">
                  <c:v>94.285184492147792</c:v>
                </c:pt>
                <c:pt idx="121">
                  <c:v>94.28539988293825</c:v>
                </c:pt>
                <c:pt idx="122">
                  <c:v>94.285351422461289</c:v>
                </c:pt>
                <c:pt idx="123">
                  <c:v>94.285045546891126</c:v>
                </c:pt>
                <c:pt idx="124">
                  <c:v>94.284488488932993</c:v>
                </c:pt>
                <c:pt idx="125">
                  <c:v>94.283686285797089</c:v>
                </c:pt>
                <c:pt idx="126">
                  <c:v>94.282644786800233</c:v>
                </c:pt>
                <c:pt idx="127">
                  <c:v>94.281369660616022</c:v>
                </c:pt>
                <c:pt idx="128">
                  <c:v>94.279866402191232</c:v>
                </c:pt>
                <c:pt idx="129">
                  <c:v>94.278140339347502</c:v>
                </c:pt>
                <c:pt idx="130">
                  <c:v>94.27619663908375</c:v>
                </c:pt>
                <c:pt idx="131">
                  <c:v>94.274040313595776</c:v>
                </c:pt>
                <c:pt idx="132">
                  <c:v>94.271676226027495</c:v>
                </c:pt>
                <c:pt idx="133">
                  <c:v>94.269109095967579</c:v>
                </c:pt>
                <c:pt idx="134">
                  <c:v>94.266343504704608</c:v>
                </c:pt>
                <c:pt idx="135">
                  <c:v>94.263383900253231</c:v>
                </c:pt>
                <c:pt idx="136">
                  <c:v>94.260234602162527</c:v>
                </c:pt>
                <c:pt idx="137">
                  <c:v>94.256899806117815</c:v>
                </c:pt>
                <c:pt idx="138">
                  <c:v>94.253383588345912</c:v>
                </c:pt>
                <c:pt idx="139">
                  <c:v>94.249689909833918</c:v>
                </c:pt>
                <c:pt idx="140">
                  <c:v>94.245822620370305</c:v>
                </c:pt>
                <c:pt idx="141">
                  <c:v>94.24178546241717</c:v>
                </c:pt>
                <c:pt idx="142">
                  <c:v>94.237582074821873</c:v>
                </c:pt>
                <c:pt idx="143">
                  <c:v>94.233215996375691</c:v>
                </c:pt>
                <c:pt idx="144">
                  <c:v>94.228690669226594</c:v>
                </c:pt>
                <c:pt idx="145">
                  <c:v>94.224009442153758</c:v>
                </c:pt>
                <c:pt idx="146">
                  <c:v>94.219175573709293</c:v>
                </c:pt>
                <c:pt idx="147">
                  <c:v>94.214192235234307</c:v>
                </c:pt>
                <c:pt idx="148">
                  <c:v>94.209062513754731</c:v>
                </c:pt>
                <c:pt idx="149">
                  <c:v>94.203789414762454</c:v>
                </c:pt>
                <c:pt idx="150">
                  <c:v>94.198375864887169</c:v>
                </c:pt>
              </c:numCache>
            </c:numRef>
          </c:yVal>
          <c:smooth val="0"/>
          <c:extLst>
            <c:ext xmlns:c16="http://schemas.microsoft.com/office/drawing/2014/chart" uri="{C3380CC4-5D6E-409C-BE32-E72D297353CC}">
              <c16:uniqueId val="{00000000-901A-4CE4-83F4-75906C9CC573}"/>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Eff_vs_IOUT!$AI$7:$AI$157</c:f>
              <c:numCache>
                <c:formatCode>General</c:formatCode>
                <c:ptCount val="151"/>
                <c:pt idx="0">
                  <c:v>8.9864268105358421E-3</c:v>
                </c:pt>
                <c:pt idx="1">
                  <c:v>4.3728822073005456E-2</c:v>
                </c:pt>
                <c:pt idx="2">
                  <c:v>7.8711746261094909E-2</c:v>
                </c:pt>
                <c:pt idx="3">
                  <c:v>0.11393519937480419</c:v>
                </c:pt>
                <c:pt idx="4">
                  <c:v>0.14939918141413333</c:v>
                </c:pt>
                <c:pt idx="5">
                  <c:v>0.18510369237908231</c:v>
                </c:pt>
                <c:pt idx="6">
                  <c:v>0.22104873226965108</c:v>
                </c:pt>
                <c:pt idx="7">
                  <c:v>0.25723430108583978</c:v>
                </c:pt>
                <c:pt idx="8">
                  <c:v>0.29366039882764816</c:v>
                </c:pt>
                <c:pt idx="9">
                  <c:v>0.33032702549507642</c:v>
                </c:pt>
                <c:pt idx="10">
                  <c:v>0.36723418108812461</c:v>
                </c:pt>
                <c:pt idx="11">
                  <c:v>0.40438186560679262</c:v>
                </c:pt>
                <c:pt idx="12">
                  <c:v>0.44177007905108034</c:v>
                </c:pt>
                <c:pt idx="13">
                  <c:v>0.479398821420988</c:v>
                </c:pt>
                <c:pt idx="14">
                  <c:v>0.51726809271651564</c:v>
                </c:pt>
                <c:pt idx="15">
                  <c:v>0.55537789293766271</c:v>
                </c:pt>
                <c:pt idx="16">
                  <c:v>0.59372822208442988</c:v>
                </c:pt>
                <c:pt idx="17">
                  <c:v>0.63231908015681704</c:v>
                </c:pt>
                <c:pt idx="18">
                  <c:v>0.67115046715482363</c:v>
                </c:pt>
                <c:pt idx="19">
                  <c:v>0.71022238307845043</c:v>
                </c:pt>
                <c:pt idx="20">
                  <c:v>0.74953482792769688</c:v>
                </c:pt>
                <c:pt idx="21">
                  <c:v>0.7890878017025631</c:v>
                </c:pt>
                <c:pt idx="22">
                  <c:v>0.82888130440304941</c:v>
                </c:pt>
                <c:pt idx="23">
                  <c:v>0.86891533602915527</c:v>
                </c:pt>
                <c:pt idx="24">
                  <c:v>0.90918989658088112</c:v>
                </c:pt>
                <c:pt idx="25">
                  <c:v>0.94970498605822673</c:v>
                </c:pt>
                <c:pt idx="26">
                  <c:v>0.99046060446119233</c:v>
                </c:pt>
                <c:pt idx="27">
                  <c:v>1.0314567517897777</c:v>
                </c:pt>
                <c:pt idx="28">
                  <c:v>1.072693428043983</c:v>
                </c:pt>
                <c:pt idx="29">
                  <c:v>1.1141706332238077</c:v>
                </c:pt>
                <c:pt idx="30">
                  <c:v>1.1558883673292526</c:v>
                </c:pt>
                <c:pt idx="31">
                  <c:v>1.1978466303603172</c:v>
                </c:pt>
                <c:pt idx="32">
                  <c:v>1.2400454223170017</c:v>
                </c:pt>
                <c:pt idx="33">
                  <c:v>1.2824847431993061</c:v>
                </c:pt>
                <c:pt idx="34">
                  <c:v>1.3251645930072304</c:v>
                </c:pt>
                <c:pt idx="35">
                  <c:v>1.3680849717407744</c:v>
                </c:pt>
                <c:pt idx="36">
                  <c:v>1.4112458793999378</c:v>
                </c:pt>
                <c:pt idx="37">
                  <c:v>1.4546473159847215</c:v>
                </c:pt>
                <c:pt idx="38">
                  <c:v>1.4982892814951254</c:v>
                </c:pt>
                <c:pt idx="39">
                  <c:v>1.5421717759311486</c:v>
                </c:pt>
                <c:pt idx="40">
                  <c:v>1.5862947992927918</c:v>
                </c:pt>
                <c:pt idx="41">
                  <c:v>1.6306583515800548</c:v>
                </c:pt>
                <c:pt idx="42">
                  <c:v>1.6752624327929373</c:v>
                </c:pt>
                <c:pt idx="43">
                  <c:v>1.72010704293144</c:v>
                </c:pt>
                <c:pt idx="44">
                  <c:v>1.7651921819955629</c:v>
                </c:pt>
                <c:pt idx="45">
                  <c:v>1.8105178499853047</c:v>
                </c:pt>
                <c:pt idx="46">
                  <c:v>1.8560840469006674</c:v>
                </c:pt>
                <c:pt idx="47">
                  <c:v>1.9018907727416496</c:v>
                </c:pt>
                <c:pt idx="48">
                  <c:v>1.947938027508251</c:v>
                </c:pt>
                <c:pt idx="49">
                  <c:v>1.9942258112004727</c:v>
                </c:pt>
                <c:pt idx="50">
                  <c:v>2.040754123818314</c:v>
                </c:pt>
                <c:pt idx="51">
                  <c:v>2.0875229653617762</c:v>
                </c:pt>
                <c:pt idx="52">
                  <c:v>2.134532335830857</c:v>
                </c:pt>
                <c:pt idx="53">
                  <c:v>2.1817822352255578</c:v>
                </c:pt>
                <c:pt idx="54">
                  <c:v>2.2292726635458791</c:v>
                </c:pt>
                <c:pt idx="55">
                  <c:v>2.2770036207918194</c:v>
                </c:pt>
                <c:pt idx="56">
                  <c:v>2.3249751069633806</c:v>
                </c:pt>
                <c:pt idx="57">
                  <c:v>2.3731871220605609</c:v>
                </c:pt>
                <c:pt idx="58">
                  <c:v>2.4216396660833603</c:v>
                </c:pt>
                <c:pt idx="59">
                  <c:v>2.4703327390317802</c:v>
                </c:pt>
                <c:pt idx="60">
                  <c:v>2.5192663409058205</c:v>
                </c:pt>
                <c:pt idx="61">
                  <c:v>2.5684404717054798</c:v>
                </c:pt>
                <c:pt idx="62">
                  <c:v>2.6178551314307597</c:v>
                </c:pt>
                <c:pt idx="63">
                  <c:v>2.6675103200816594</c:v>
                </c:pt>
                <c:pt idx="64">
                  <c:v>2.7174060376581783</c:v>
                </c:pt>
                <c:pt idx="65">
                  <c:v>2.7675422841603172</c:v>
                </c:pt>
                <c:pt idx="66">
                  <c:v>2.8179190595880761</c:v>
                </c:pt>
                <c:pt idx="67">
                  <c:v>2.8685363639414545</c:v>
                </c:pt>
                <c:pt idx="68">
                  <c:v>2.9193941972204538</c:v>
                </c:pt>
                <c:pt idx="69">
                  <c:v>2.9704925594250726</c:v>
                </c:pt>
                <c:pt idx="70">
                  <c:v>3.0218314505553105</c:v>
                </c:pt>
                <c:pt idx="71">
                  <c:v>3.073410870611168</c:v>
                </c:pt>
                <c:pt idx="72">
                  <c:v>3.1252308195926455</c:v>
                </c:pt>
                <c:pt idx="73">
                  <c:v>3.1772912974997434</c:v>
                </c:pt>
                <c:pt idx="74">
                  <c:v>3.2295923043324608</c:v>
                </c:pt>
                <c:pt idx="75">
                  <c:v>3.2821338400907987</c:v>
                </c:pt>
                <c:pt idx="76">
                  <c:v>3.3349159047747565</c:v>
                </c:pt>
                <c:pt idx="77">
                  <c:v>3.387938498384333</c:v>
                </c:pt>
                <c:pt idx="78">
                  <c:v>3.4412016209195304</c:v>
                </c:pt>
                <c:pt idx="79">
                  <c:v>3.4947052723803465</c:v>
                </c:pt>
                <c:pt idx="80">
                  <c:v>3.5484494527667838</c:v>
                </c:pt>
                <c:pt idx="81">
                  <c:v>3.6024341620788394</c:v>
                </c:pt>
                <c:pt idx="82">
                  <c:v>3.6566594003165163</c:v>
                </c:pt>
                <c:pt idx="83">
                  <c:v>3.7111251674798122</c:v>
                </c:pt>
                <c:pt idx="84">
                  <c:v>3.7658314635687269</c:v>
                </c:pt>
                <c:pt idx="85">
                  <c:v>3.8207782885832633</c:v>
                </c:pt>
                <c:pt idx="86">
                  <c:v>3.8759656425234188</c:v>
                </c:pt>
                <c:pt idx="87">
                  <c:v>3.9313935253891943</c:v>
                </c:pt>
                <c:pt idx="88">
                  <c:v>3.9870619371805902</c:v>
                </c:pt>
                <c:pt idx="89">
                  <c:v>4.0429708778976057</c:v>
                </c:pt>
                <c:pt idx="90">
                  <c:v>4.0991203475402394</c:v>
                </c:pt>
                <c:pt idx="91">
                  <c:v>4.1555103461084943</c:v>
                </c:pt>
                <c:pt idx="92">
                  <c:v>4.2121408736023689</c:v>
                </c:pt>
                <c:pt idx="93">
                  <c:v>4.269011930021863</c:v>
                </c:pt>
                <c:pt idx="94">
                  <c:v>4.3261235153669784</c:v>
                </c:pt>
                <c:pt idx="95">
                  <c:v>4.3834756296377124</c:v>
                </c:pt>
                <c:pt idx="96">
                  <c:v>4.441068272834066</c:v>
                </c:pt>
                <c:pt idx="97">
                  <c:v>4.4989014449560392</c:v>
                </c:pt>
                <c:pt idx="98">
                  <c:v>4.5569751460036327</c:v>
                </c:pt>
                <c:pt idx="99">
                  <c:v>4.6152893759768459</c:v>
                </c:pt>
                <c:pt idx="100">
                  <c:v>4.6738441348756794</c:v>
                </c:pt>
                <c:pt idx="101">
                  <c:v>4.7326394227001334</c:v>
                </c:pt>
                <c:pt idx="102">
                  <c:v>4.791675239450206</c:v>
                </c:pt>
                <c:pt idx="103">
                  <c:v>4.8509515851258982</c:v>
                </c:pt>
                <c:pt idx="104">
                  <c:v>4.9104684597272108</c:v>
                </c:pt>
                <c:pt idx="105">
                  <c:v>4.9702258632541438</c:v>
                </c:pt>
                <c:pt idx="106">
                  <c:v>5.0302237957066955</c:v>
                </c:pt>
                <c:pt idx="107">
                  <c:v>5.0904622570848677</c:v>
                </c:pt>
                <c:pt idx="108">
                  <c:v>5.1509412473886602</c:v>
                </c:pt>
                <c:pt idx="109">
                  <c:v>5.2116607666180723</c:v>
                </c:pt>
                <c:pt idx="110">
                  <c:v>5.2726208147731031</c:v>
                </c:pt>
                <c:pt idx="111">
                  <c:v>5.3338213918537551</c:v>
                </c:pt>
                <c:pt idx="112">
                  <c:v>5.3952624978600277</c:v>
                </c:pt>
                <c:pt idx="113">
                  <c:v>5.456944132791917</c:v>
                </c:pt>
                <c:pt idx="114">
                  <c:v>5.5188662966494295</c:v>
                </c:pt>
                <c:pt idx="115">
                  <c:v>5.5810289894325598</c:v>
                </c:pt>
                <c:pt idx="116">
                  <c:v>5.6434322111413078</c:v>
                </c:pt>
                <c:pt idx="117">
                  <c:v>5.7060759617756789</c:v>
                </c:pt>
                <c:pt idx="118">
                  <c:v>5.7689602413356695</c:v>
                </c:pt>
                <c:pt idx="119">
                  <c:v>5.8320850498212806</c:v>
                </c:pt>
                <c:pt idx="120">
                  <c:v>5.8954503872325104</c:v>
                </c:pt>
                <c:pt idx="121">
                  <c:v>5.9590562535693579</c:v>
                </c:pt>
                <c:pt idx="122">
                  <c:v>6.0229026488318294</c:v>
                </c:pt>
                <c:pt idx="123">
                  <c:v>6.0869895730199177</c:v>
                </c:pt>
                <c:pt idx="124">
                  <c:v>6.1513170261336283</c:v>
                </c:pt>
                <c:pt idx="125">
                  <c:v>6.2158850081729566</c:v>
                </c:pt>
                <c:pt idx="126">
                  <c:v>6.2806935191379072</c:v>
                </c:pt>
                <c:pt idx="127">
                  <c:v>6.3457425590284764</c:v>
                </c:pt>
                <c:pt idx="128">
                  <c:v>6.4110321278446634</c:v>
                </c:pt>
                <c:pt idx="129">
                  <c:v>6.4765622255864734</c:v>
                </c:pt>
                <c:pt idx="130">
                  <c:v>6.5423328522538995</c:v>
                </c:pt>
                <c:pt idx="131">
                  <c:v>6.6083440078469478</c:v>
                </c:pt>
                <c:pt idx="132">
                  <c:v>6.6745956923656165</c:v>
                </c:pt>
                <c:pt idx="133">
                  <c:v>6.7410879058099038</c:v>
                </c:pt>
                <c:pt idx="134">
                  <c:v>6.8078206481798116</c:v>
                </c:pt>
                <c:pt idx="135">
                  <c:v>6.8747939194753389</c:v>
                </c:pt>
                <c:pt idx="136">
                  <c:v>6.9420077196964876</c:v>
                </c:pt>
                <c:pt idx="137">
                  <c:v>7.009462048843254</c:v>
                </c:pt>
                <c:pt idx="138">
                  <c:v>7.0771569069156417</c:v>
                </c:pt>
                <c:pt idx="139">
                  <c:v>7.145092293913649</c:v>
                </c:pt>
                <c:pt idx="140">
                  <c:v>7.2132682098372758</c:v>
                </c:pt>
                <c:pt idx="141">
                  <c:v>7.2816846546865222</c:v>
                </c:pt>
                <c:pt idx="142">
                  <c:v>7.3503416284613863</c:v>
                </c:pt>
                <c:pt idx="143">
                  <c:v>7.4192391311618735</c:v>
                </c:pt>
                <c:pt idx="144">
                  <c:v>7.4883771627879785</c:v>
                </c:pt>
                <c:pt idx="145">
                  <c:v>7.5577557233397048</c:v>
                </c:pt>
                <c:pt idx="146">
                  <c:v>7.6273748128170507</c:v>
                </c:pt>
                <c:pt idx="147">
                  <c:v>7.697234431220016</c:v>
                </c:pt>
                <c:pt idx="148">
                  <c:v>7.767334578548601</c:v>
                </c:pt>
                <c:pt idx="149">
                  <c:v>7.8376752548028064</c:v>
                </c:pt>
                <c:pt idx="150">
                  <c:v>7.9082564599826313</c:v>
                </c:pt>
              </c:numCache>
            </c:numRef>
          </c:yVal>
          <c:smooth val="1"/>
          <c:extLst>
            <c:ext xmlns:c16="http://schemas.microsoft.com/office/drawing/2014/chart" uri="{C3380CC4-5D6E-409C-BE32-E72D297353CC}">
              <c16:uniqueId val="{00000001-901A-4CE4-83F4-75906C9CC573}"/>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Eff_vs_IOUT!$AO$7:$AO$157</c:f>
              <c:numCache>
                <c:formatCode>General</c:formatCode>
                <c:ptCount val="151"/>
                <c:pt idx="0">
                  <c:v>2.4176791697319411</c:v>
                </c:pt>
                <c:pt idx="1">
                  <c:v>2.4200448424592138</c:v>
                </c:pt>
                <c:pt idx="2">
                  <c:v>2.4224727697319413</c:v>
                </c:pt>
                <c:pt idx="3">
                  <c:v>2.424962951550123</c:v>
                </c:pt>
                <c:pt idx="4">
                  <c:v>2.427515387913759</c:v>
                </c:pt>
                <c:pt idx="5">
                  <c:v>2.4301300788228501</c:v>
                </c:pt>
                <c:pt idx="6">
                  <c:v>2.4328070242773956</c:v>
                </c:pt>
                <c:pt idx="7">
                  <c:v>2.4355462242773958</c:v>
                </c:pt>
                <c:pt idx="8">
                  <c:v>2.4383476788228502</c:v>
                </c:pt>
                <c:pt idx="9">
                  <c:v>2.4412113879137589</c:v>
                </c:pt>
                <c:pt idx="10">
                  <c:v>2.4441373515501232</c:v>
                </c:pt>
                <c:pt idx="11">
                  <c:v>2.4471255697319414</c:v>
                </c:pt>
                <c:pt idx="12">
                  <c:v>2.4501760424592138</c:v>
                </c:pt>
                <c:pt idx="13">
                  <c:v>2.453288769731941</c:v>
                </c:pt>
                <c:pt idx="14">
                  <c:v>2.4564637515501229</c:v>
                </c:pt>
                <c:pt idx="15">
                  <c:v>2.4597009879137595</c:v>
                </c:pt>
                <c:pt idx="16">
                  <c:v>2.4630004788228503</c:v>
                </c:pt>
                <c:pt idx="17">
                  <c:v>2.4663622242773955</c:v>
                </c:pt>
                <c:pt idx="18">
                  <c:v>2.4697862242773954</c:v>
                </c:pt>
                <c:pt idx="19">
                  <c:v>2.47327247882285</c:v>
                </c:pt>
                <c:pt idx="20">
                  <c:v>2.4768209879137588</c:v>
                </c:pt>
                <c:pt idx="21">
                  <c:v>2.4804317515501229</c:v>
                </c:pt>
                <c:pt idx="22">
                  <c:v>2.4841047697319412</c:v>
                </c:pt>
                <c:pt idx="23">
                  <c:v>2.4878400424592138</c:v>
                </c:pt>
                <c:pt idx="24">
                  <c:v>2.4916375697319411</c:v>
                </c:pt>
                <c:pt idx="25">
                  <c:v>2.4954973515501226</c:v>
                </c:pt>
                <c:pt idx="26">
                  <c:v>2.4994193879137594</c:v>
                </c:pt>
                <c:pt idx="27">
                  <c:v>2.5034036788228504</c:v>
                </c:pt>
                <c:pt idx="28">
                  <c:v>2.5074502242773957</c:v>
                </c:pt>
                <c:pt idx="29">
                  <c:v>2.5115590242773953</c:v>
                </c:pt>
                <c:pt idx="30">
                  <c:v>2.51573007882285</c:v>
                </c:pt>
                <c:pt idx="31">
                  <c:v>2.5199633879137595</c:v>
                </c:pt>
                <c:pt idx="32">
                  <c:v>2.5242589515501228</c:v>
                </c:pt>
                <c:pt idx="33">
                  <c:v>2.5286167697319413</c:v>
                </c:pt>
                <c:pt idx="34">
                  <c:v>2.5330368424592136</c:v>
                </c:pt>
                <c:pt idx="35">
                  <c:v>2.537519169731941</c:v>
                </c:pt>
                <c:pt idx="36">
                  <c:v>2.5420637515501232</c:v>
                </c:pt>
                <c:pt idx="37">
                  <c:v>2.5466705879137592</c:v>
                </c:pt>
                <c:pt idx="38">
                  <c:v>2.55133967882285</c:v>
                </c:pt>
                <c:pt idx="39">
                  <c:v>2.5560710242773954</c:v>
                </c:pt>
                <c:pt idx="40">
                  <c:v>2.5608646242773956</c:v>
                </c:pt>
                <c:pt idx="41">
                  <c:v>2.5657204788228505</c:v>
                </c:pt>
                <c:pt idx="42">
                  <c:v>2.5706385879137592</c:v>
                </c:pt>
                <c:pt idx="43">
                  <c:v>2.5756189515501227</c:v>
                </c:pt>
                <c:pt idx="44">
                  <c:v>2.5806615697319408</c:v>
                </c:pt>
                <c:pt idx="45">
                  <c:v>2.5857664424592137</c:v>
                </c:pt>
                <c:pt idx="46">
                  <c:v>2.5909335697319413</c:v>
                </c:pt>
                <c:pt idx="47">
                  <c:v>2.5961629515501228</c:v>
                </c:pt>
                <c:pt idx="48">
                  <c:v>2.6014545879137594</c:v>
                </c:pt>
                <c:pt idx="49">
                  <c:v>2.6068084788228503</c:v>
                </c:pt>
                <c:pt idx="50">
                  <c:v>2.6122246242773954</c:v>
                </c:pt>
                <c:pt idx="51">
                  <c:v>2.6177030242773958</c:v>
                </c:pt>
                <c:pt idx="52">
                  <c:v>2.6232436788228504</c:v>
                </c:pt>
                <c:pt idx="53">
                  <c:v>2.6288465879137592</c:v>
                </c:pt>
                <c:pt idx="54">
                  <c:v>2.6345117515501228</c:v>
                </c:pt>
                <c:pt idx="55">
                  <c:v>2.6402391697319407</c:v>
                </c:pt>
                <c:pt idx="56">
                  <c:v>2.6460288424592142</c:v>
                </c:pt>
                <c:pt idx="57">
                  <c:v>2.6518807697319411</c:v>
                </c:pt>
                <c:pt idx="58">
                  <c:v>2.6577949515501231</c:v>
                </c:pt>
                <c:pt idx="59">
                  <c:v>2.663771387913759</c:v>
                </c:pt>
                <c:pt idx="60">
                  <c:v>2.66981007882285</c:v>
                </c:pt>
                <c:pt idx="61">
                  <c:v>2.6759110242773958</c:v>
                </c:pt>
                <c:pt idx="62">
                  <c:v>2.6820742242773958</c:v>
                </c:pt>
                <c:pt idx="63">
                  <c:v>2.6882996788228501</c:v>
                </c:pt>
                <c:pt idx="64">
                  <c:v>2.6945873879137592</c:v>
                </c:pt>
                <c:pt idx="65">
                  <c:v>2.7009373515501229</c:v>
                </c:pt>
                <c:pt idx="66">
                  <c:v>2.7073495697319414</c:v>
                </c:pt>
                <c:pt idx="67">
                  <c:v>2.7138240424592137</c:v>
                </c:pt>
                <c:pt idx="68">
                  <c:v>2.7203607697319412</c:v>
                </c:pt>
                <c:pt idx="69">
                  <c:v>2.7269597515501229</c:v>
                </c:pt>
                <c:pt idx="70">
                  <c:v>2.733620987913759</c:v>
                </c:pt>
                <c:pt idx="71">
                  <c:v>2.7403444788228501</c:v>
                </c:pt>
                <c:pt idx="72">
                  <c:v>2.7471302242773956</c:v>
                </c:pt>
                <c:pt idx="73">
                  <c:v>2.7539782242773958</c:v>
                </c:pt>
                <c:pt idx="74">
                  <c:v>2.7608884788228498</c:v>
                </c:pt>
                <c:pt idx="75">
                  <c:v>2.767860987913759</c:v>
                </c:pt>
                <c:pt idx="76">
                  <c:v>2.7748957515501234</c:v>
                </c:pt>
                <c:pt idx="77">
                  <c:v>2.7819927697319411</c:v>
                </c:pt>
                <c:pt idx="78">
                  <c:v>2.789152042459214</c:v>
                </c:pt>
                <c:pt idx="79">
                  <c:v>2.7963735697319412</c:v>
                </c:pt>
                <c:pt idx="80">
                  <c:v>2.8036573515501226</c:v>
                </c:pt>
                <c:pt idx="81">
                  <c:v>2.8110033879137593</c:v>
                </c:pt>
                <c:pt idx="82">
                  <c:v>2.8184116788228506</c:v>
                </c:pt>
                <c:pt idx="83">
                  <c:v>2.8258822242773958</c:v>
                </c:pt>
                <c:pt idx="84">
                  <c:v>2.8334150242773952</c:v>
                </c:pt>
                <c:pt idx="85">
                  <c:v>2.8410100788228498</c:v>
                </c:pt>
                <c:pt idx="86">
                  <c:v>2.8486673879137596</c:v>
                </c:pt>
                <c:pt idx="87">
                  <c:v>2.8563869515501232</c:v>
                </c:pt>
                <c:pt idx="88">
                  <c:v>2.8641687697319411</c:v>
                </c:pt>
                <c:pt idx="89">
                  <c:v>2.8720128424592137</c:v>
                </c:pt>
                <c:pt idx="90">
                  <c:v>2.8799191697319411</c:v>
                </c:pt>
                <c:pt idx="91">
                  <c:v>2.8878877515501227</c:v>
                </c:pt>
                <c:pt idx="92">
                  <c:v>2.8959185879137594</c:v>
                </c:pt>
                <c:pt idx="93">
                  <c:v>2.9040116788228501</c:v>
                </c:pt>
                <c:pt idx="94">
                  <c:v>2.9121670242773958</c:v>
                </c:pt>
                <c:pt idx="95">
                  <c:v>2.9203846242773954</c:v>
                </c:pt>
                <c:pt idx="96">
                  <c:v>2.9286644788228502</c:v>
                </c:pt>
                <c:pt idx="97">
                  <c:v>2.9370065879137597</c:v>
                </c:pt>
                <c:pt idx="98">
                  <c:v>2.945410951550123</c:v>
                </c:pt>
                <c:pt idx="99">
                  <c:v>2.953877569731941</c:v>
                </c:pt>
                <c:pt idx="100">
                  <c:v>2.9624064424592138</c:v>
                </c:pt>
                <c:pt idx="101">
                  <c:v>2.9709975697319413</c:v>
                </c:pt>
                <c:pt idx="102">
                  <c:v>2.9796509515501231</c:v>
                </c:pt>
                <c:pt idx="103">
                  <c:v>2.9883665879137595</c:v>
                </c:pt>
                <c:pt idx="104">
                  <c:v>2.9971444788228503</c:v>
                </c:pt>
                <c:pt idx="105">
                  <c:v>3.0059846242773953</c:v>
                </c:pt>
                <c:pt idx="106">
                  <c:v>3.0148870242773955</c:v>
                </c:pt>
                <c:pt idx="107">
                  <c:v>3.0238516788228504</c:v>
                </c:pt>
                <c:pt idx="108">
                  <c:v>3.0328785879137592</c:v>
                </c:pt>
                <c:pt idx="109">
                  <c:v>3.0419677515501227</c:v>
                </c:pt>
                <c:pt idx="110">
                  <c:v>3.0511191697319409</c:v>
                </c:pt>
                <c:pt idx="111">
                  <c:v>3.0603328424592142</c:v>
                </c:pt>
                <c:pt idx="112">
                  <c:v>3.0696087697319414</c:v>
                </c:pt>
                <c:pt idx="113">
                  <c:v>3.0789469515501229</c:v>
                </c:pt>
                <c:pt idx="114">
                  <c:v>3.0883473879137595</c:v>
                </c:pt>
                <c:pt idx="115">
                  <c:v>3.09781007882285</c:v>
                </c:pt>
                <c:pt idx="116">
                  <c:v>3.1073350242773956</c:v>
                </c:pt>
                <c:pt idx="117">
                  <c:v>3.116922224277396</c:v>
                </c:pt>
                <c:pt idx="118">
                  <c:v>3.1265716788228501</c:v>
                </c:pt>
                <c:pt idx="119">
                  <c:v>3.1362833879137595</c:v>
                </c:pt>
                <c:pt idx="120">
                  <c:v>3.1460573515501227</c:v>
                </c:pt>
                <c:pt idx="121">
                  <c:v>3.155893569731941</c:v>
                </c:pt>
                <c:pt idx="122">
                  <c:v>3.1657920424592141</c:v>
                </c:pt>
                <c:pt idx="123">
                  <c:v>3.175752769731941</c:v>
                </c:pt>
                <c:pt idx="124">
                  <c:v>3.185775751550123</c:v>
                </c:pt>
                <c:pt idx="125">
                  <c:v>3.1958609879137589</c:v>
                </c:pt>
                <c:pt idx="126">
                  <c:v>3.20600847882285</c:v>
                </c:pt>
                <c:pt idx="127">
                  <c:v>3.2162182242773962</c:v>
                </c:pt>
                <c:pt idx="128">
                  <c:v>3.2264902242773958</c:v>
                </c:pt>
                <c:pt idx="129">
                  <c:v>3.2368244788228502</c:v>
                </c:pt>
                <c:pt idx="130">
                  <c:v>3.2472209879137592</c:v>
                </c:pt>
                <c:pt idx="131">
                  <c:v>3.257679751550123</c:v>
                </c:pt>
                <c:pt idx="132">
                  <c:v>3.2682007697319415</c:v>
                </c:pt>
                <c:pt idx="133">
                  <c:v>3.2787840424592138</c:v>
                </c:pt>
                <c:pt idx="134">
                  <c:v>3.2894295697319413</c:v>
                </c:pt>
                <c:pt idx="135">
                  <c:v>3.3001373515501227</c:v>
                </c:pt>
                <c:pt idx="136">
                  <c:v>3.3109073879137592</c:v>
                </c:pt>
                <c:pt idx="137">
                  <c:v>3.3217396788228504</c:v>
                </c:pt>
                <c:pt idx="138">
                  <c:v>3.3326342242773959</c:v>
                </c:pt>
                <c:pt idx="139">
                  <c:v>3.3435910242773956</c:v>
                </c:pt>
                <c:pt idx="140">
                  <c:v>3.3546100788228501</c:v>
                </c:pt>
                <c:pt idx="141">
                  <c:v>3.3656913879137593</c:v>
                </c:pt>
                <c:pt idx="142">
                  <c:v>3.3768349515501228</c:v>
                </c:pt>
                <c:pt idx="143">
                  <c:v>3.388040769731941</c:v>
                </c:pt>
                <c:pt idx="144">
                  <c:v>3.3993088424592135</c:v>
                </c:pt>
                <c:pt idx="145">
                  <c:v>3.4106391697319411</c:v>
                </c:pt>
                <c:pt idx="146">
                  <c:v>3.4220317515501226</c:v>
                </c:pt>
                <c:pt idx="147">
                  <c:v>3.4334865879137588</c:v>
                </c:pt>
                <c:pt idx="148">
                  <c:v>3.4450036788228502</c:v>
                </c:pt>
                <c:pt idx="149">
                  <c:v>3.4565830242773958</c:v>
                </c:pt>
                <c:pt idx="150">
                  <c:v>3.4682246242773958</c:v>
                </c:pt>
              </c:numCache>
            </c:numRef>
          </c:yVal>
          <c:smooth val="1"/>
          <c:extLst>
            <c:ext xmlns:c16="http://schemas.microsoft.com/office/drawing/2014/chart" uri="{C3380CC4-5D6E-409C-BE32-E72D297353CC}">
              <c16:uniqueId val="{00000002-901A-4CE4-83F4-75906C9CC57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0.04</c:v>
                </c:pt>
                <c:pt idx="2">
                  <c:v>0.08</c:v>
                </c:pt>
                <c:pt idx="3">
                  <c:v>0.12</c:v>
                </c:pt>
                <c:pt idx="4">
                  <c:v>0.16</c:v>
                </c:pt>
                <c:pt idx="5">
                  <c:v>0.2</c:v>
                </c:pt>
                <c:pt idx="6">
                  <c:v>0.24</c:v>
                </c:pt>
                <c:pt idx="7">
                  <c:v>0.28000000000000003</c:v>
                </c:pt>
                <c:pt idx="8">
                  <c:v>0.32</c:v>
                </c:pt>
                <c:pt idx="9">
                  <c:v>0.36</c:v>
                </c:pt>
                <c:pt idx="10">
                  <c:v>0.4</c:v>
                </c:pt>
                <c:pt idx="11">
                  <c:v>0.44</c:v>
                </c:pt>
                <c:pt idx="12">
                  <c:v>0.48</c:v>
                </c:pt>
                <c:pt idx="13">
                  <c:v>0.52</c:v>
                </c:pt>
                <c:pt idx="14">
                  <c:v>0.56000000000000005</c:v>
                </c:pt>
                <c:pt idx="15">
                  <c:v>0.6</c:v>
                </c:pt>
                <c:pt idx="16">
                  <c:v>0.64</c:v>
                </c:pt>
                <c:pt idx="17">
                  <c:v>0.68</c:v>
                </c:pt>
                <c:pt idx="18">
                  <c:v>0.72</c:v>
                </c:pt>
                <c:pt idx="19">
                  <c:v>0.76</c:v>
                </c:pt>
                <c:pt idx="20">
                  <c:v>0.8</c:v>
                </c:pt>
                <c:pt idx="21">
                  <c:v>0.84</c:v>
                </c:pt>
                <c:pt idx="22">
                  <c:v>0.88</c:v>
                </c:pt>
                <c:pt idx="23">
                  <c:v>0.92</c:v>
                </c:pt>
                <c:pt idx="24">
                  <c:v>0.96</c:v>
                </c:pt>
                <c:pt idx="25">
                  <c:v>1</c:v>
                </c:pt>
                <c:pt idx="26">
                  <c:v>1.04</c:v>
                </c:pt>
                <c:pt idx="27">
                  <c:v>1.08</c:v>
                </c:pt>
                <c:pt idx="28">
                  <c:v>1.1200000000000001</c:v>
                </c:pt>
                <c:pt idx="29">
                  <c:v>1.1599999999999999</c:v>
                </c:pt>
                <c:pt idx="30">
                  <c:v>1.2</c:v>
                </c:pt>
                <c:pt idx="31">
                  <c:v>1.24</c:v>
                </c:pt>
                <c:pt idx="32">
                  <c:v>1.28</c:v>
                </c:pt>
                <c:pt idx="33">
                  <c:v>1.32</c:v>
                </c:pt>
                <c:pt idx="34">
                  <c:v>1.36</c:v>
                </c:pt>
                <c:pt idx="35">
                  <c:v>1.4000000000000001</c:v>
                </c:pt>
                <c:pt idx="36">
                  <c:v>1.44</c:v>
                </c:pt>
                <c:pt idx="37">
                  <c:v>1.48</c:v>
                </c:pt>
                <c:pt idx="38">
                  <c:v>1.52</c:v>
                </c:pt>
                <c:pt idx="39">
                  <c:v>1.56</c:v>
                </c:pt>
                <c:pt idx="40">
                  <c:v>1.6</c:v>
                </c:pt>
                <c:pt idx="41">
                  <c:v>1.6400000000000001</c:v>
                </c:pt>
                <c:pt idx="42">
                  <c:v>1.68</c:v>
                </c:pt>
                <c:pt idx="43">
                  <c:v>1.72</c:v>
                </c:pt>
                <c:pt idx="44">
                  <c:v>1.76</c:v>
                </c:pt>
                <c:pt idx="45">
                  <c:v>1.8</c:v>
                </c:pt>
                <c:pt idx="46">
                  <c:v>1.84</c:v>
                </c:pt>
                <c:pt idx="47">
                  <c:v>1.8800000000000001</c:v>
                </c:pt>
                <c:pt idx="48">
                  <c:v>1.92</c:v>
                </c:pt>
                <c:pt idx="49">
                  <c:v>1.96</c:v>
                </c:pt>
                <c:pt idx="50">
                  <c:v>2</c:v>
                </c:pt>
                <c:pt idx="51">
                  <c:v>2.04</c:v>
                </c:pt>
                <c:pt idx="52">
                  <c:v>2.08</c:v>
                </c:pt>
                <c:pt idx="53">
                  <c:v>2.12</c:v>
                </c:pt>
                <c:pt idx="54">
                  <c:v>2.16</c:v>
                </c:pt>
                <c:pt idx="55">
                  <c:v>2.2000000000000002</c:v>
                </c:pt>
                <c:pt idx="56">
                  <c:v>2.2400000000000002</c:v>
                </c:pt>
                <c:pt idx="57">
                  <c:v>2.2800000000000002</c:v>
                </c:pt>
                <c:pt idx="58">
                  <c:v>2.3199999999999998</c:v>
                </c:pt>
                <c:pt idx="59">
                  <c:v>2.36</c:v>
                </c:pt>
                <c:pt idx="60">
                  <c:v>2.4</c:v>
                </c:pt>
                <c:pt idx="61">
                  <c:v>2.44</c:v>
                </c:pt>
                <c:pt idx="62">
                  <c:v>2.48</c:v>
                </c:pt>
                <c:pt idx="63">
                  <c:v>2.52</c:v>
                </c:pt>
                <c:pt idx="64">
                  <c:v>2.56</c:v>
                </c:pt>
                <c:pt idx="65">
                  <c:v>2.6</c:v>
                </c:pt>
                <c:pt idx="66">
                  <c:v>2.64</c:v>
                </c:pt>
                <c:pt idx="67">
                  <c:v>2.68</c:v>
                </c:pt>
                <c:pt idx="68">
                  <c:v>2.72</c:v>
                </c:pt>
                <c:pt idx="69">
                  <c:v>2.7600000000000002</c:v>
                </c:pt>
                <c:pt idx="70">
                  <c:v>2.8000000000000003</c:v>
                </c:pt>
                <c:pt idx="71">
                  <c:v>2.84</c:v>
                </c:pt>
                <c:pt idx="72">
                  <c:v>2.88</c:v>
                </c:pt>
                <c:pt idx="73">
                  <c:v>2.92</c:v>
                </c:pt>
                <c:pt idx="74">
                  <c:v>2.96</c:v>
                </c:pt>
                <c:pt idx="75">
                  <c:v>3</c:v>
                </c:pt>
                <c:pt idx="76">
                  <c:v>3.04</c:v>
                </c:pt>
                <c:pt idx="77">
                  <c:v>3.08</c:v>
                </c:pt>
                <c:pt idx="78">
                  <c:v>3.12</c:v>
                </c:pt>
                <c:pt idx="79">
                  <c:v>3.16</c:v>
                </c:pt>
                <c:pt idx="80">
                  <c:v>3.2</c:v>
                </c:pt>
                <c:pt idx="81">
                  <c:v>3.24</c:v>
                </c:pt>
                <c:pt idx="82">
                  <c:v>3.2800000000000002</c:v>
                </c:pt>
                <c:pt idx="83">
                  <c:v>3.3200000000000003</c:v>
                </c:pt>
                <c:pt idx="84">
                  <c:v>3.36</c:v>
                </c:pt>
                <c:pt idx="85">
                  <c:v>3.4</c:v>
                </c:pt>
                <c:pt idx="86">
                  <c:v>3.44</c:v>
                </c:pt>
                <c:pt idx="87">
                  <c:v>3.48</c:v>
                </c:pt>
                <c:pt idx="88">
                  <c:v>3.52</c:v>
                </c:pt>
                <c:pt idx="89">
                  <c:v>3.56</c:v>
                </c:pt>
                <c:pt idx="90">
                  <c:v>3.6</c:v>
                </c:pt>
                <c:pt idx="91">
                  <c:v>3.64</c:v>
                </c:pt>
                <c:pt idx="92">
                  <c:v>3.68</c:v>
                </c:pt>
                <c:pt idx="93">
                  <c:v>3.72</c:v>
                </c:pt>
                <c:pt idx="94">
                  <c:v>3.7600000000000002</c:v>
                </c:pt>
                <c:pt idx="95">
                  <c:v>3.8000000000000003</c:v>
                </c:pt>
                <c:pt idx="96">
                  <c:v>3.84</c:v>
                </c:pt>
                <c:pt idx="97">
                  <c:v>3.88</c:v>
                </c:pt>
                <c:pt idx="98">
                  <c:v>3.92</c:v>
                </c:pt>
                <c:pt idx="99">
                  <c:v>3.96</c:v>
                </c:pt>
                <c:pt idx="100">
                  <c:v>4</c:v>
                </c:pt>
                <c:pt idx="101">
                  <c:v>4.04</c:v>
                </c:pt>
                <c:pt idx="102">
                  <c:v>4.08</c:v>
                </c:pt>
                <c:pt idx="103">
                  <c:v>4.12</c:v>
                </c:pt>
                <c:pt idx="104">
                  <c:v>4.16</c:v>
                </c:pt>
                <c:pt idx="105">
                  <c:v>4.2</c:v>
                </c:pt>
                <c:pt idx="106">
                  <c:v>4.24</c:v>
                </c:pt>
                <c:pt idx="107">
                  <c:v>4.28</c:v>
                </c:pt>
                <c:pt idx="108">
                  <c:v>4.32</c:v>
                </c:pt>
                <c:pt idx="109">
                  <c:v>4.3600000000000003</c:v>
                </c:pt>
                <c:pt idx="110">
                  <c:v>4.4000000000000004</c:v>
                </c:pt>
                <c:pt idx="111">
                  <c:v>4.4400000000000004</c:v>
                </c:pt>
                <c:pt idx="112">
                  <c:v>4.4800000000000004</c:v>
                </c:pt>
                <c:pt idx="113">
                  <c:v>4.5200000000000005</c:v>
                </c:pt>
                <c:pt idx="114">
                  <c:v>4.5600000000000005</c:v>
                </c:pt>
                <c:pt idx="115">
                  <c:v>4.6000000000000005</c:v>
                </c:pt>
                <c:pt idx="116">
                  <c:v>4.6399999999999997</c:v>
                </c:pt>
                <c:pt idx="117">
                  <c:v>4.68</c:v>
                </c:pt>
                <c:pt idx="118">
                  <c:v>4.72</c:v>
                </c:pt>
                <c:pt idx="119">
                  <c:v>4.76</c:v>
                </c:pt>
                <c:pt idx="120">
                  <c:v>4.8</c:v>
                </c:pt>
                <c:pt idx="121">
                  <c:v>4.84</c:v>
                </c:pt>
                <c:pt idx="122">
                  <c:v>4.88</c:v>
                </c:pt>
                <c:pt idx="123">
                  <c:v>4.92</c:v>
                </c:pt>
                <c:pt idx="124">
                  <c:v>4.96</c:v>
                </c:pt>
                <c:pt idx="125">
                  <c:v>5</c:v>
                </c:pt>
                <c:pt idx="126">
                  <c:v>5.04</c:v>
                </c:pt>
                <c:pt idx="127">
                  <c:v>5.08</c:v>
                </c:pt>
                <c:pt idx="128">
                  <c:v>5.12</c:v>
                </c:pt>
                <c:pt idx="129">
                  <c:v>5.16</c:v>
                </c:pt>
                <c:pt idx="130">
                  <c:v>5.2</c:v>
                </c:pt>
                <c:pt idx="131">
                  <c:v>5.24</c:v>
                </c:pt>
                <c:pt idx="132">
                  <c:v>5.28</c:v>
                </c:pt>
                <c:pt idx="133">
                  <c:v>5.32</c:v>
                </c:pt>
                <c:pt idx="134">
                  <c:v>5.36</c:v>
                </c:pt>
                <c:pt idx="135">
                  <c:v>5.4</c:v>
                </c:pt>
                <c:pt idx="136">
                  <c:v>5.44</c:v>
                </c:pt>
                <c:pt idx="137">
                  <c:v>5.48</c:v>
                </c:pt>
                <c:pt idx="138">
                  <c:v>5.5200000000000005</c:v>
                </c:pt>
                <c:pt idx="139">
                  <c:v>5.5600000000000005</c:v>
                </c:pt>
                <c:pt idx="140">
                  <c:v>5.6000000000000005</c:v>
                </c:pt>
                <c:pt idx="141">
                  <c:v>5.64</c:v>
                </c:pt>
                <c:pt idx="142">
                  <c:v>5.68</c:v>
                </c:pt>
                <c:pt idx="143">
                  <c:v>5.72</c:v>
                </c:pt>
                <c:pt idx="144">
                  <c:v>5.76</c:v>
                </c:pt>
                <c:pt idx="145">
                  <c:v>5.8</c:v>
                </c:pt>
                <c:pt idx="146">
                  <c:v>5.84</c:v>
                </c:pt>
                <c:pt idx="147">
                  <c:v>5.88</c:v>
                </c:pt>
                <c:pt idx="148">
                  <c:v>5.92</c:v>
                </c:pt>
                <c:pt idx="149">
                  <c:v>5.96</c:v>
                </c:pt>
                <c:pt idx="150">
                  <c:v>6</c:v>
                </c:pt>
              </c:numCache>
            </c:numRef>
          </c:xVal>
          <c:yVal>
            <c:numRef>
              <c:f>Eff_vs_IOUT!$AP$7:$AP$157</c:f>
              <c:numCache>
                <c:formatCode>General</c:formatCode>
                <c:ptCount val="151"/>
                <c:pt idx="0">
                  <c:v>4.2421220679147139E-3</c:v>
                </c:pt>
                <c:pt idx="1">
                  <c:v>4.29889396874116E-3</c:v>
                </c:pt>
                <c:pt idx="2">
                  <c:v>4.4692096712204985E-3</c:v>
                </c:pt>
                <c:pt idx="3">
                  <c:v>4.7530691753527301E-3</c:v>
                </c:pt>
                <c:pt idx="4">
                  <c:v>5.1504724811378541E-3</c:v>
                </c:pt>
                <c:pt idx="5">
                  <c:v>5.6614195885758712E-3</c:v>
                </c:pt>
                <c:pt idx="6">
                  <c:v>6.2859104976667798E-3</c:v>
                </c:pt>
                <c:pt idx="7">
                  <c:v>7.0239452084105806E-3</c:v>
                </c:pt>
                <c:pt idx="8">
                  <c:v>7.8755237208072756E-3</c:v>
                </c:pt>
                <c:pt idx="9">
                  <c:v>8.8406460348568611E-3</c:v>
                </c:pt>
                <c:pt idx="10">
                  <c:v>9.9193121505593406E-3</c:v>
                </c:pt>
                <c:pt idx="11">
                  <c:v>1.1111522067914712E-2</c:v>
                </c:pt>
                <c:pt idx="12">
                  <c:v>1.2417275786922977E-2</c:v>
                </c:pt>
                <c:pt idx="13">
                  <c:v>1.3836573307584138E-2</c:v>
                </c:pt>
                <c:pt idx="14">
                  <c:v>1.5369414629898187E-2</c:v>
                </c:pt>
                <c:pt idx="15">
                  <c:v>1.7015799753865132E-2</c:v>
                </c:pt>
                <c:pt idx="16">
                  <c:v>1.8775728679484967E-2</c:v>
                </c:pt>
                <c:pt idx="17">
                  <c:v>2.0649201406757696E-2</c:v>
                </c:pt>
                <c:pt idx="18">
                  <c:v>2.2636217935683309E-2</c:v>
                </c:pt>
                <c:pt idx="19">
                  <c:v>2.4736778266261819E-2</c:v>
                </c:pt>
                <c:pt idx="20">
                  <c:v>2.6950882398493227E-2</c:v>
                </c:pt>
                <c:pt idx="21">
                  <c:v>2.9278530332377515E-2</c:v>
                </c:pt>
                <c:pt idx="22">
                  <c:v>3.1719722067914714E-2</c:v>
                </c:pt>
                <c:pt idx="23">
                  <c:v>3.4274457605104801E-2</c:v>
                </c:pt>
                <c:pt idx="24">
                  <c:v>3.6942736943947778E-2</c:v>
                </c:pt>
                <c:pt idx="25">
                  <c:v>3.9724560084443632E-2</c:v>
                </c:pt>
                <c:pt idx="26">
                  <c:v>4.2619927026592411E-2</c:v>
                </c:pt>
                <c:pt idx="27">
                  <c:v>4.562883777039406E-2</c:v>
                </c:pt>
                <c:pt idx="28">
                  <c:v>4.8751292315848606E-2</c:v>
                </c:pt>
                <c:pt idx="29">
                  <c:v>5.1987290662956029E-2</c:v>
                </c:pt>
                <c:pt idx="30">
                  <c:v>5.5336832811716384E-2</c:v>
                </c:pt>
                <c:pt idx="31">
                  <c:v>5.8799918762129602E-2</c:v>
                </c:pt>
                <c:pt idx="32">
                  <c:v>6.2376548514195711E-2</c:v>
                </c:pt>
                <c:pt idx="33">
                  <c:v>6.6066722067914724E-2</c:v>
                </c:pt>
                <c:pt idx="34">
                  <c:v>6.9870439423286648E-2</c:v>
                </c:pt>
                <c:pt idx="35">
                  <c:v>7.3787700580311422E-2</c:v>
                </c:pt>
                <c:pt idx="36">
                  <c:v>7.7818505538989086E-2</c:v>
                </c:pt>
                <c:pt idx="37">
                  <c:v>8.1962854299319668E-2</c:v>
                </c:pt>
                <c:pt idx="38">
                  <c:v>8.6220746861303155E-2</c:v>
                </c:pt>
                <c:pt idx="39">
                  <c:v>9.0592183224939504E-2</c:v>
                </c:pt>
                <c:pt idx="40">
                  <c:v>9.5077163390228758E-2</c:v>
                </c:pt>
                <c:pt idx="41">
                  <c:v>9.9675687357170931E-2</c:v>
                </c:pt>
                <c:pt idx="42">
                  <c:v>0.10438775512576591</c:v>
                </c:pt>
                <c:pt idx="43">
                  <c:v>0.10921336669601389</c:v>
                </c:pt>
                <c:pt idx="44">
                  <c:v>0.11415252206791472</c:v>
                </c:pt>
                <c:pt idx="45">
                  <c:v>0.11920522124146841</c:v>
                </c:pt>
                <c:pt idx="46">
                  <c:v>0.12437146421667507</c:v>
                </c:pt>
                <c:pt idx="47">
                  <c:v>0.12965125099353453</c:v>
                </c:pt>
                <c:pt idx="48">
                  <c:v>0.13504458157204696</c:v>
                </c:pt>
                <c:pt idx="49">
                  <c:v>0.14055145595221225</c:v>
                </c:pt>
                <c:pt idx="50">
                  <c:v>0.14617187413403041</c:v>
                </c:pt>
                <c:pt idx="51">
                  <c:v>0.15190583611750147</c:v>
                </c:pt>
                <c:pt idx="52">
                  <c:v>0.15775334190262549</c:v>
                </c:pt>
                <c:pt idx="53">
                  <c:v>0.16371439148940231</c:v>
                </c:pt>
                <c:pt idx="54">
                  <c:v>0.16978898487783212</c:v>
                </c:pt>
                <c:pt idx="55">
                  <c:v>0.17597712206791474</c:v>
                </c:pt>
                <c:pt idx="56">
                  <c:v>0.18227880305965027</c:v>
                </c:pt>
                <c:pt idx="57">
                  <c:v>0.18869402785303876</c:v>
                </c:pt>
                <c:pt idx="58">
                  <c:v>0.19522279644807997</c:v>
                </c:pt>
                <c:pt idx="59">
                  <c:v>0.20186510884477421</c:v>
                </c:pt>
                <c:pt idx="60">
                  <c:v>0.20862096504312133</c:v>
                </c:pt>
                <c:pt idx="61">
                  <c:v>0.21549036504312133</c:v>
                </c:pt>
                <c:pt idx="62">
                  <c:v>0.22247330884477423</c:v>
                </c:pt>
                <c:pt idx="63">
                  <c:v>0.22956979644807993</c:v>
                </c:pt>
                <c:pt idx="64">
                  <c:v>0.23677982785303869</c:v>
                </c:pt>
                <c:pt idx="65">
                  <c:v>0.24410340305965025</c:v>
                </c:pt>
                <c:pt idx="66">
                  <c:v>0.25154052206791477</c:v>
                </c:pt>
                <c:pt idx="67">
                  <c:v>0.259091184877832</c:v>
                </c:pt>
                <c:pt idx="68">
                  <c:v>0.2667553914894023</c:v>
                </c:pt>
                <c:pt idx="69">
                  <c:v>0.27453314190262557</c:v>
                </c:pt>
                <c:pt idx="70">
                  <c:v>0.28242443611750156</c:v>
                </c:pt>
                <c:pt idx="71">
                  <c:v>0.29042927413403041</c:v>
                </c:pt>
                <c:pt idx="72">
                  <c:v>0.29854765595221211</c:v>
                </c:pt>
                <c:pt idx="73">
                  <c:v>0.30677958157204693</c:v>
                </c:pt>
                <c:pt idx="74">
                  <c:v>0.31512505099353444</c:v>
                </c:pt>
                <c:pt idx="75">
                  <c:v>0.32358406421667502</c:v>
                </c:pt>
                <c:pt idx="76">
                  <c:v>0.3321566212414685</c:v>
                </c:pt>
                <c:pt idx="77">
                  <c:v>0.34084272206791472</c:v>
                </c:pt>
                <c:pt idx="78">
                  <c:v>0.3496423666960139</c:v>
                </c:pt>
                <c:pt idx="79">
                  <c:v>0.35855555512576592</c:v>
                </c:pt>
                <c:pt idx="80">
                  <c:v>0.36758228735717091</c:v>
                </c:pt>
                <c:pt idx="81">
                  <c:v>0.37672256339022875</c:v>
                </c:pt>
                <c:pt idx="82">
                  <c:v>0.38597638322493966</c:v>
                </c:pt>
                <c:pt idx="83">
                  <c:v>0.39534374686130314</c:v>
                </c:pt>
                <c:pt idx="84">
                  <c:v>0.40482465429931958</c:v>
                </c:pt>
                <c:pt idx="85">
                  <c:v>0.41441910553898892</c:v>
                </c:pt>
                <c:pt idx="86">
                  <c:v>0.42412710058031128</c:v>
                </c:pt>
                <c:pt idx="87">
                  <c:v>0.43394863942328649</c:v>
                </c:pt>
                <c:pt idx="88">
                  <c:v>0.44388372206791482</c:v>
                </c:pt>
                <c:pt idx="89">
                  <c:v>0.45393234851419578</c:v>
                </c:pt>
                <c:pt idx="90">
                  <c:v>0.46409451876212948</c:v>
                </c:pt>
                <c:pt idx="91">
                  <c:v>0.47437023281171647</c:v>
                </c:pt>
                <c:pt idx="92">
                  <c:v>0.48475949066295593</c:v>
                </c:pt>
                <c:pt idx="93">
                  <c:v>0.49526229231584862</c:v>
                </c:pt>
                <c:pt idx="94">
                  <c:v>0.5058786377703941</c:v>
                </c:pt>
                <c:pt idx="95">
                  <c:v>0.51660852702659255</c:v>
                </c:pt>
                <c:pt idx="96">
                  <c:v>0.52745196008444373</c:v>
                </c:pt>
                <c:pt idx="97">
                  <c:v>0.53840893694394765</c:v>
                </c:pt>
                <c:pt idx="98">
                  <c:v>0.54947945760510475</c:v>
                </c:pt>
                <c:pt idx="99">
                  <c:v>0.5606635220679147</c:v>
                </c:pt>
                <c:pt idx="100">
                  <c:v>0.57196113033237739</c:v>
                </c:pt>
                <c:pt idx="101">
                  <c:v>0.58337228239849337</c:v>
                </c:pt>
                <c:pt idx="102">
                  <c:v>0.59489697826626187</c:v>
                </c:pt>
                <c:pt idx="103">
                  <c:v>0.60653521793568332</c:v>
                </c:pt>
                <c:pt idx="104">
                  <c:v>0.61828700140675785</c:v>
                </c:pt>
                <c:pt idx="105">
                  <c:v>0.63015232867948512</c:v>
                </c:pt>
                <c:pt idx="106">
                  <c:v>0.64213119975386512</c:v>
                </c:pt>
                <c:pt idx="107">
                  <c:v>0.6542236146298982</c:v>
                </c:pt>
                <c:pt idx="108">
                  <c:v>0.66642957330758412</c:v>
                </c:pt>
                <c:pt idx="109">
                  <c:v>0.67874907578692312</c:v>
                </c:pt>
                <c:pt idx="110">
                  <c:v>0.69118212206791485</c:v>
                </c:pt>
                <c:pt idx="111">
                  <c:v>0.70372871215055943</c:v>
                </c:pt>
                <c:pt idx="112">
                  <c:v>0.71638884603485697</c:v>
                </c:pt>
                <c:pt idx="113">
                  <c:v>0.72916252372080737</c:v>
                </c:pt>
                <c:pt idx="114">
                  <c:v>0.74204974520841083</c:v>
                </c:pt>
                <c:pt idx="115">
                  <c:v>0.7550505104976668</c:v>
                </c:pt>
                <c:pt idx="116">
                  <c:v>0.76816481958857563</c:v>
                </c:pt>
                <c:pt idx="117">
                  <c:v>0.78139267248113786</c:v>
                </c:pt>
                <c:pt idx="118">
                  <c:v>0.79473406917535261</c:v>
                </c:pt>
                <c:pt idx="119">
                  <c:v>0.80818900967122065</c:v>
                </c:pt>
                <c:pt idx="120">
                  <c:v>0.82175749396874154</c:v>
                </c:pt>
                <c:pt idx="121">
                  <c:v>0.83543952206791461</c:v>
                </c:pt>
                <c:pt idx="122">
                  <c:v>0.84923509396874119</c:v>
                </c:pt>
                <c:pt idx="123">
                  <c:v>0.8631442096712203</c:v>
                </c:pt>
                <c:pt idx="124">
                  <c:v>0.87716686917535303</c:v>
                </c:pt>
                <c:pt idx="125">
                  <c:v>0.8913030724811376</c:v>
                </c:pt>
                <c:pt idx="126">
                  <c:v>0.90555281958857581</c:v>
                </c:pt>
                <c:pt idx="127">
                  <c:v>0.91991611049766686</c:v>
                </c:pt>
                <c:pt idx="128">
                  <c:v>0.93439294520841065</c:v>
                </c:pt>
                <c:pt idx="129">
                  <c:v>0.94898332372080729</c:v>
                </c:pt>
                <c:pt idx="130">
                  <c:v>0.96368724603485689</c:v>
                </c:pt>
                <c:pt idx="131">
                  <c:v>0.97850471215055945</c:v>
                </c:pt>
                <c:pt idx="132">
                  <c:v>0.99343572206791475</c:v>
                </c:pt>
                <c:pt idx="133">
                  <c:v>1.0084802757869231</c:v>
                </c:pt>
                <c:pt idx="134">
                  <c:v>1.0236383733075838</c:v>
                </c:pt>
                <c:pt idx="135">
                  <c:v>1.0389100146298986</c:v>
                </c:pt>
                <c:pt idx="136">
                  <c:v>1.0542951997538654</c:v>
                </c:pt>
                <c:pt idx="137">
                  <c:v>1.0697939286794849</c:v>
                </c:pt>
                <c:pt idx="138">
                  <c:v>1.0854062014067583</c:v>
                </c:pt>
                <c:pt idx="139">
                  <c:v>1.1011320179356838</c:v>
                </c:pt>
                <c:pt idx="140">
                  <c:v>1.116971378266262</c:v>
                </c:pt>
                <c:pt idx="141">
                  <c:v>1.1329242823984935</c:v>
                </c:pt>
                <c:pt idx="142">
                  <c:v>1.1489907303323774</c:v>
                </c:pt>
                <c:pt idx="143">
                  <c:v>1.1651707220679146</c:v>
                </c:pt>
                <c:pt idx="144">
                  <c:v>1.1814642576051047</c:v>
                </c:pt>
                <c:pt idx="145">
                  <c:v>1.1978713369439478</c:v>
                </c:pt>
                <c:pt idx="146">
                  <c:v>1.2143919600844435</c:v>
                </c:pt>
                <c:pt idx="147">
                  <c:v>1.2310261270265923</c:v>
                </c:pt>
                <c:pt idx="148">
                  <c:v>1.247773837770394</c:v>
                </c:pt>
                <c:pt idx="149">
                  <c:v>1.2646350923158487</c:v>
                </c:pt>
                <c:pt idx="150">
                  <c:v>1.2816098906629561</c:v>
                </c:pt>
              </c:numCache>
            </c:numRef>
          </c:yVal>
          <c:smooth val="1"/>
          <c:extLst>
            <c:ext xmlns:c16="http://schemas.microsoft.com/office/drawing/2014/chart" uri="{C3380CC4-5D6E-409C-BE32-E72D297353CC}">
              <c16:uniqueId val="{00000003-901A-4CE4-83F4-75906C9CC573}"/>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33.735986238707127</c:v>
                </c:pt>
                <c:pt idx="1">
                  <c:v>33.693615425183509</c:v>
                </c:pt>
                <c:pt idx="2">
                  <c:v>33.649686395617252</c:v>
                </c:pt>
                <c:pt idx="3">
                  <c:v>33.604158398466247</c:v>
                </c:pt>
                <c:pt idx="4">
                  <c:v>33.556990824183018</c:v>
                </c:pt>
                <c:pt idx="5">
                  <c:v>33.50814330076566</c:v>
                </c:pt>
                <c:pt idx="6">
                  <c:v>33.457575793260503</c:v>
                </c:pt>
                <c:pt idx="7">
                  <c:v>33.405248706875462</c:v>
                </c:pt>
                <c:pt idx="8">
                  <c:v>33.351122993309303</c:v>
                </c:pt>
                <c:pt idx="9">
                  <c:v>33.295160259849716</c:v>
                </c:pt>
                <c:pt idx="10">
                  <c:v>33.237322880740841</c:v>
                </c:pt>
                <c:pt idx="11">
                  <c:v>33.177574110271649</c:v>
                </c:pt>
                <c:pt idx="12">
                  <c:v>33.115878196988461</c:v>
                </c:pt>
                <c:pt idx="13">
                  <c:v>33.052200498392239</c:v>
                </c:pt>
                <c:pt idx="14">
                  <c:v>32.986507595441246</c:v>
                </c:pt>
                <c:pt idx="15">
                  <c:v>32.918767406147275</c:v>
                </c:pt>
                <c:pt idx="16">
                  <c:v>32.848949297525024</c:v>
                </c:pt>
                <c:pt idx="17">
                  <c:v>32.777024195134842</c:v>
                </c:pt>
                <c:pt idx="18">
                  <c:v>32.702964689446723</c:v>
                </c:pt>
                <c:pt idx="19">
                  <c:v>32.626745138248594</c:v>
                </c:pt>
                <c:pt idx="20">
                  <c:v>32.548341764328178</c:v>
                </c:pt>
                <c:pt idx="21">
                  <c:v>32.467732747671562</c:v>
                </c:pt>
                <c:pt idx="22">
                  <c:v>32.384898311445284</c:v>
                </c:pt>
                <c:pt idx="23">
                  <c:v>32.299820801062992</c:v>
                </c:pt>
                <c:pt idx="24">
                  <c:v>32.212484755680443</c:v>
                </c:pt>
                <c:pt idx="25">
                  <c:v>32.122876971513953</c:v>
                </c:pt>
                <c:pt idx="26">
                  <c:v>32.030986556440361</c:v>
                </c:pt>
                <c:pt idx="27">
                  <c:v>31.936804975402016</c:v>
                </c:pt>
                <c:pt idx="28">
                  <c:v>31.840326086218806</c:v>
                </c:pt>
                <c:pt idx="29">
                  <c:v>31.74154616548909</c:v>
                </c:pt>
                <c:pt idx="30">
                  <c:v>31.640463924348548</c:v>
                </c:pt>
                <c:pt idx="31">
                  <c:v>31.537080513945348</c:v>
                </c:pt>
                <c:pt idx="32">
                  <c:v>31.431399520583479</c:v>
                </c:pt>
                <c:pt idx="33">
                  <c:v>31.323426950576113</c:v>
                </c:pt>
                <c:pt idx="34">
                  <c:v>31.213171204947198</c:v>
                </c:pt>
                <c:pt idx="35">
                  <c:v>31.100643044205455</c:v>
                </c:pt>
                <c:pt idx="36">
                  <c:v>30.985855543504385</c:v>
                </c:pt>
                <c:pt idx="37">
                  <c:v>30.868824038582474</c:v>
                </c:pt>
                <c:pt idx="38">
                  <c:v>30.749566062954429</c:v>
                </c:pt>
                <c:pt idx="39">
                  <c:v>30.62810127689297</c:v>
                </c:pt>
                <c:pt idx="40">
                  <c:v>30.504451388802025</c:v>
                </c:pt>
                <c:pt idx="41">
                  <c:v>30.378640069634319</c:v>
                </c:pt>
                <c:pt idx="42">
                  <c:v>30.2506928610517</c:v>
                </c:pt>
                <c:pt idx="43">
                  <c:v>30.120637078057769</c:v>
                </c:pt>
                <c:pt idx="44">
                  <c:v>29.988501706859903</c:v>
                </c:pt>
                <c:pt idx="45">
                  <c:v>29.854317298729928</c:v>
                </c:pt>
                <c:pt idx="46">
                  <c:v>29.71811586064165</c:v>
                </c:pt>
                <c:pt idx="47">
                  <c:v>29.579930743456231</c:v>
                </c:pt>
                <c:pt idx="48">
                  <c:v>29.439796528417382</c:v>
                </c:pt>
                <c:pt idx="49">
                  <c:v>29.297748912697735</c:v>
                </c:pt>
                <c:pt idx="50">
                  <c:v>29.153824594710333</c:v>
                </c:pt>
                <c:pt idx="51">
                  <c:v>29.008061159865971</c:v>
                </c:pt>
                <c:pt idx="52">
                  <c:v>28.860496967419962</c:v>
                </c:pt>
                <c:pt idx="53">
                  <c:v>28.711171039005006</c:v>
                </c:pt>
                <c:pt idx="54">
                  <c:v>28.560122949404896</c:v>
                </c:pt>
                <c:pt idx="55">
                  <c:v>28.407392720068817</c:v>
                </c:pt>
                <c:pt idx="56">
                  <c:v>28.25302071581774</c:v>
                </c:pt>
                <c:pt idx="57">
                  <c:v>28.097047545140519</c:v>
                </c:pt>
                <c:pt idx="58">
                  <c:v>27.939513964424194</c:v>
                </c:pt>
                <c:pt idx="59">
                  <c:v>27.780460786410202</c:v>
                </c:pt>
                <c:pt idx="60">
                  <c:v>27.619928793117165</c:v>
                </c:pt>
                <c:pt idx="61">
                  <c:v>27.457958653420626</c:v>
                </c:pt>
                <c:pt idx="62">
                  <c:v>27.294590845432403</c:v>
                </c:pt>
                <c:pt idx="63">
                  <c:v>27.129865583776688</c:v>
                </c:pt>
                <c:pt idx="64">
                  <c:v>26.963822751817798</c:v>
                </c:pt>
                <c:pt idx="65">
                  <c:v>26.796501838855612</c:v>
                </c:pt>
                <c:pt idx="66">
                  <c:v>26.627941882267582</c:v>
                </c:pt>
                <c:pt idx="67">
                  <c:v>26.45818141454415</c:v>
                </c:pt>
                <c:pt idx="68">
                  <c:v>26.287258415135412</c:v>
                </c:pt>
                <c:pt idx="69">
                  <c:v>26.115210267000975</c:v>
                </c:pt>
                <c:pt idx="70">
                  <c:v>25.942073717730811</c:v>
                </c:pt>
                <c:pt idx="71">
                  <c:v>25.767884845089224</c:v>
                </c:pt>
                <c:pt idx="72">
                  <c:v>25.592679026813919</c:v>
                </c:pt>
                <c:pt idx="73">
                  <c:v>25.416490914492165</c:v>
                </c:pt>
                <c:pt idx="74">
                  <c:v>25.239354411324122</c:v>
                </c:pt>
                <c:pt idx="75">
                  <c:v>25.061302653576291</c:v>
                </c:pt>
                <c:pt idx="76">
                  <c:v>24.882367995522618</c:v>
                </c:pt>
                <c:pt idx="77">
                  <c:v>24.702581997667213</c:v>
                </c:pt>
                <c:pt idx="78">
                  <c:v>24.521975418042853</c:v>
                </c:pt>
                <c:pt idx="79">
                  <c:v>24.340578206377682</c:v>
                </c:pt>
                <c:pt idx="80">
                  <c:v>24.158419500927522</c:v>
                </c:pt>
                <c:pt idx="81">
                  <c:v>23.975527627772173</c:v>
                </c:pt>
                <c:pt idx="82">
                  <c:v>23.791930102379929</c:v>
                </c:pt>
                <c:pt idx="83">
                  <c:v>23.607653633250717</c:v>
                </c:pt>
                <c:pt idx="84">
                  <c:v>23.422724127452387</c:v>
                </c:pt>
                <c:pt idx="85">
                  <c:v>23.237166697875452</c:v>
                </c:pt>
                <c:pt idx="86">
                  <c:v>23.051005672034922</c:v>
                </c:pt>
                <c:pt idx="87">
                  <c:v>22.864264602259258</c:v>
                </c:pt>
                <c:pt idx="88">
                  <c:v>22.676966277112843</c:v>
                </c:pt>
                <c:pt idx="89">
                  <c:v>22.48913273390778</c:v>
                </c:pt>
                <c:pt idx="90">
                  <c:v>22.300785272167492</c:v>
                </c:pt>
                <c:pt idx="91">
                  <c:v>22.111944467916445</c:v>
                </c:pt>
                <c:pt idx="92">
                  <c:v>21.922630188674326</c:v>
                </c:pt>
                <c:pt idx="93">
                  <c:v>21.73286160904491</c:v>
                </c:pt>
                <c:pt idx="94">
                  <c:v>21.542657226795583</c:v>
                </c:pt>
                <c:pt idx="95">
                  <c:v>21.352034879333086</c:v>
                </c:pt>
                <c:pt idx="96">
                  <c:v>21.161011760486339</c:v>
                </c:pt>
                <c:pt idx="97">
                  <c:v>20.969604437516441</c:v>
                </c:pt>
                <c:pt idx="98">
                  <c:v>20.777828868279819</c:v>
                </c:pt>
                <c:pt idx="99">
                  <c:v>20.585700418477924</c:v>
                </c:pt>
                <c:pt idx="100">
                  <c:v>20.393233878931632</c:v>
                </c:pt>
                <c:pt idx="101">
                  <c:v>20.200443482826135</c:v>
                </c:pt>
                <c:pt idx="102">
                  <c:v>20.007342922876798</c:v>
                </c:pt>
                <c:pt idx="103">
                  <c:v>19.813945368371662</c:v>
                </c:pt>
                <c:pt idx="104">
                  <c:v>19.620263482051318</c:v>
                </c:pt>
                <c:pt idx="105">
                  <c:v>19.426309436791851</c:v>
                </c:pt>
                <c:pt idx="106">
                  <c:v>19.232094932060239</c:v>
                </c:pt>
                <c:pt idx="107">
                  <c:v>19.037631210115798</c:v>
                </c:pt>
                <c:pt idx="108">
                  <c:v>18.842929071934957</c:v>
                </c:pt>
                <c:pt idx="109">
                  <c:v>18.647998892840061</c:v>
                </c:pt>
                <c:pt idx="110">
                  <c:v>18.452850637815761</c:v>
                </c:pt>
                <c:pt idx="111">
                  <c:v>18.257493876499986</c:v>
                </c:pt>
                <c:pt idx="112">
                  <c:v>18.061937797838265</c:v>
                </c:pt>
                <c:pt idx="113">
                  <c:v>17.866191224393301</c:v>
                </c:pt>
                <c:pt idx="114">
                  <c:v>17.670262626303458</c:v>
                </c:pt>
                <c:pt idx="115">
                  <c:v>17.474160134886059</c:v>
                </c:pt>
                <c:pt idx="116">
                  <c:v>17.277891555882849</c:v>
                </c:pt>
                <c:pt idx="117">
                  <c:v>17.081464382346809</c:v>
                </c:pt>
                <c:pt idx="118">
                  <c:v>16.884885807171074</c:v>
                </c:pt>
                <c:pt idx="119">
                  <c:v>16.688162735261439</c:v>
                </c:pt>
                <c:pt idx="120">
                  <c:v>16.491301795356147</c:v>
                </c:pt>
                <c:pt idx="121">
                  <c:v>16.294309351495922</c:v>
                </c:pt>
                <c:pt idx="122">
                  <c:v>16.097191514150783</c:v>
                </c:pt>
                <c:pt idx="123">
                  <c:v>15.899954151007311</c:v>
                </c:pt>
                <c:pt idx="124">
                  <c:v>15.70260289742496</c:v>
                </c:pt>
                <c:pt idx="125">
                  <c:v>15.505143166566903</c:v>
                </c:pt>
                <c:pt idx="126">
                  <c:v>15.307580159213101</c:v>
                </c:pt>
                <c:pt idx="127">
                  <c:v>15.109918873264887</c:v>
                </c:pt>
                <c:pt idx="128">
                  <c:v>14.912164112948025</c:v>
                </c:pt>
                <c:pt idx="129">
                  <c:v>14.714320497722666</c:v>
                </c:pt>
                <c:pt idx="130">
                  <c:v>14.516392470911402</c:v>
                </c:pt>
                <c:pt idx="131">
                  <c:v>14.318384308051282</c:v>
                </c:pt>
                <c:pt idx="132">
                  <c:v>14.120300124982721</c:v>
                </c:pt>
                <c:pt idx="133">
                  <c:v>13.922143885680571</c:v>
                </c:pt>
                <c:pt idx="134">
                  <c:v>13.723919409841274</c:v>
                </c:pt>
                <c:pt idx="135">
                  <c:v>13.525630380232339</c:v>
                </c:pt>
                <c:pt idx="136">
                  <c:v>13.327280349814838</c:v>
                </c:pt>
                <c:pt idx="137">
                  <c:v>13.128872748649403</c:v>
                </c:pt>
                <c:pt idx="138">
                  <c:v>12.930410890593866</c:v>
                </c:pt>
                <c:pt idx="139">
                  <c:v>12.731897979802993</c:v>
                </c:pt>
                <c:pt idx="140">
                  <c:v>12.533337117039947</c:v>
                </c:pt>
                <c:pt idx="141">
                  <c:v>12.33473130580782</c:v>
                </c:pt>
                <c:pt idx="142">
                  <c:v>12.136083458312276</c:v>
                </c:pt>
                <c:pt idx="143">
                  <c:v>11.937396401263669</c:v>
                </c:pt>
                <c:pt idx="144">
                  <c:v>11.738672881527654</c:v>
                </c:pt>
                <c:pt idx="145">
                  <c:v>11.539915571634001</c:v>
                </c:pt>
                <c:pt idx="146">
                  <c:v>11.341127075152905</c:v>
                </c:pt>
                <c:pt idx="147">
                  <c:v>11.142309931947135</c:v>
                </c:pt>
                <c:pt idx="148">
                  <c:v>10.943466623309213</c:v>
                </c:pt>
                <c:pt idx="149">
                  <c:v>10.744599576992783</c:v>
                </c:pt>
                <c:pt idx="150">
                  <c:v>10.545711172146353</c:v>
                </c:pt>
                <c:pt idx="151">
                  <c:v>10.346803744158921</c:v>
                </c:pt>
                <c:pt idx="152">
                  <c:v>10.147879589425104</c:v>
                </c:pt>
                <c:pt idx="153">
                  <c:v>9.9489409700387768</c:v>
                </c:pt>
                <c:pt idx="154">
                  <c:v>9.7499901184245523</c:v>
                </c:pt>
                <c:pt idx="155">
                  <c:v>9.5510292419135805</c:v>
                </c:pt>
                <c:pt idx="156">
                  <c:v>9.3520605272742845</c:v>
                </c:pt>
                <c:pt idx="157">
                  <c:v>9.1530861452045524</c:v>
                </c:pt>
                <c:pt idx="158">
                  <c:v>8.9541082547948214</c:v>
                </c:pt>
                <c:pt idx="159">
                  <c:v>8.7551290079701083</c:v>
                </c:pt>
                <c:pt idx="160">
                  <c:v>8.5561505539186768</c:v>
                </c:pt>
                <c:pt idx="161">
                  <c:v>8.3571750435165448</c:v>
                </c:pt>
                <c:pt idx="162">
                  <c:v>8.1582046337552967</c:v>
                </c:pt>
                <c:pt idx="163">
                  <c:v>7.9592414921821577</c:v>
                </c:pt>
                <c:pt idx="164">
                  <c:v>7.7602878013596719</c:v>
                </c:pt>
                <c:pt idx="165">
                  <c:v>7.5613457633545522</c:v>
                </c:pt>
                <c:pt idx="166">
                  <c:v>7.3624176042630776</c:v>
                </c:pt>
                <c:pt idx="167">
                  <c:v>7.1635055787814945</c:v>
                </c:pt>
                <c:pt idx="168">
                  <c:v>6.9646119748306381</c:v>
                </c:pt>
                <c:pt idx="169">
                  <c:v>6.7657391182423066</c:v>
                </c:pt>
                <c:pt idx="170">
                  <c:v>6.5668893775164152</c:v>
                </c:pt>
                <c:pt idx="171">
                  <c:v>6.3680651686578837</c:v>
                </c:pt>
                <c:pt idx="172">
                  <c:v>6.1692689601013093</c:v>
                </c:pt>
                <c:pt idx="173">
                  <c:v>5.9705032777322593</c:v>
                </c:pt>
                <c:pt idx="174">
                  <c:v>5.771770710015053</c:v>
                </c:pt>
                <c:pt idx="175">
                  <c:v>5.5730739132346985</c:v>
                </c:pt>
                <c:pt idx="176">
                  <c:v>5.3744156168627244</c:v>
                </c:pt>
                <c:pt idx="177">
                  <c:v>5.1757986290563647</c:v>
                </c:pt>
                <c:pt idx="178">
                  <c:v>4.9772258422997613</c:v>
                </c:pt>
                <c:pt idx="179">
                  <c:v>4.7787002391967768</c:v>
                </c:pt>
                <c:pt idx="180">
                  <c:v>4.5802248984253859</c:v>
                </c:pt>
                <c:pt idx="181">
                  <c:v>4.3818030008623312</c:v>
                </c:pt>
                <c:pt idx="182">
                  <c:v>4.1834378358886806</c:v>
                </c:pt>
                <c:pt idx="183">
                  <c:v>3.9851328078857602</c:v>
                </c:pt>
                <c:pt idx="184">
                  <c:v>3.7868914429306382</c:v>
                </c:pt>
                <c:pt idx="185">
                  <c:v>3.5887173957026026</c:v>
                </c:pt>
                <c:pt idx="186">
                  <c:v>3.3906144566091188</c:v>
                </c:pt>
                <c:pt idx="187">
                  <c:v>3.1925865591428688</c:v>
                </c:pt>
                <c:pt idx="188">
                  <c:v>2.9946377874782608</c:v>
                </c:pt>
                <c:pt idx="189">
                  <c:v>2.7967723843195911</c:v>
                </c:pt>
                <c:pt idx="190">
                  <c:v>2.5989947590092752</c:v>
                </c:pt>
                <c:pt idx="191">
                  <c:v>2.4013094959074985</c:v>
                </c:pt>
                <c:pt idx="192">
                  <c:v>2.2037213630524097</c:v>
                </c:pt>
                <c:pt idx="193">
                  <c:v>2.0062353211123027</c:v>
                </c:pt>
                <c:pt idx="194">
                  <c:v>1.8088565326375985</c:v>
                </c:pt>
                <c:pt idx="195">
                  <c:v>1.6115903716246149</c:v>
                </c:pt>
                <c:pt idx="196">
                  <c:v>1.414442433398551</c:v>
                </c:pt>
                <c:pt idx="197">
                  <c:v>1.2174185448270904</c:v>
                </c:pt>
                <c:pt idx="198">
                  <c:v>1.0205247748714676</c:v>
                </c:pt>
                <c:pt idx="199">
                  <c:v>0.82376744548479031</c:v>
                </c:pt>
                <c:pt idx="200">
                  <c:v>0.62715314286557311</c:v>
                </c:pt>
                <c:pt idx="201">
                  <c:v>0.43068872907350042</c:v>
                </c:pt>
                <c:pt idx="202">
                  <c:v>0.23438135401506244</c:v>
                </c:pt>
                <c:pt idx="203">
                  <c:v>3.8238467804266957E-2</c:v>
                </c:pt>
                <c:pt idx="204">
                  <c:v>-0.1577321664951907</c:v>
                </c:pt>
                <c:pt idx="205">
                  <c:v>-0.35352245974264573</c:v>
                </c:pt>
                <c:pt idx="206">
                  <c:v>-0.54912398320454658</c:v>
                </c:pt>
                <c:pt idx="207">
                  <c:v>-0.74452795464774513</c:v>
                </c:pt>
                <c:pt idx="208">
                  <c:v>-0.93972522404130165</c:v>
                </c:pt>
                <c:pt idx="209">
                  <c:v>-1.1347062588676928</c:v>
                </c:pt>
                <c:pt idx="210">
                  <c:v>-1.3294611290457015</c:v>
                </c:pt>
                <c:pt idx="211">
                  <c:v>-1.5239794914697167</c:v>
                </c:pt>
                <c:pt idx="212">
                  <c:v>-1.7182505741712646</c:v>
                </c:pt>
                <c:pt idx="213">
                  <c:v>-1.9122631601122246</c:v>
                </c:pt>
                <c:pt idx="214">
                  <c:v>-2.1060055706205141</c:v>
                </c:pt>
                <c:pt idx="215">
                  <c:v>-2.2994656484822062</c:v>
                </c:pt>
                <c:pt idx="216">
                  <c:v>-2.4926307407072854</c:v>
                </c:pt>
                <c:pt idx="217">
                  <c:v>-2.6854876809892541</c:v>
                </c:pt>
                <c:pt idx="218">
                  <c:v>-2.8780227718820983</c:v>
                </c:pt>
                <c:pt idx="219">
                  <c:v>-3.0702217667228284</c:v>
                </c:pt>
                <c:pt idx="220">
                  <c:v>-3.2620698513303492</c:v>
                </c:pt>
                <c:pt idx="221">
                  <c:v>-3.4535516255184029</c:v>
                </c:pt>
                <c:pt idx="222">
                  <c:v>-3.6446510844615472</c:v>
                </c:pt>
                <c:pt idx="223">
                  <c:v>-3.8353515999624346</c:v>
                </c:pt>
                <c:pt idx="224">
                  <c:v>-4.0256359016699044</c:v>
                </c:pt>
                <c:pt idx="225">
                  <c:v>-4.215486058306583</c:v>
                </c:pt>
                <c:pt idx="226">
                  <c:v>-4.4048834589688948</c:v>
                </c:pt>
                <c:pt idx="227">
                  <c:v>-4.5938087945686785</c:v>
                </c:pt>
                <c:pt idx="228">
                  <c:v>-4.7822420394938927</c:v>
                </c:pt>
                <c:pt idx="229">
                  <c:v>-4.9701624335720549</c:v>
                </c:pt>
                <c:pt idx="230">
                  <c:v>-5.1575484644261067</c:v>
                </c:pt>
                <c:pt idx="231">
                  <c:v>-5.3443778503231947</c:v>
                </c:pt>
                <c:pt idx="232">
                  <c:v>-5.5306275236207547</c:v>
                </c:pt>
                <c:pt idx="233">
                  <c:v>-5.7162736149266715</c:v>
                </c:pt>
                <c:pt idx="234">
                  <c:v>-5.9012914380941819</c:v>
                </c:pt>
                <c:pt idx="235">
                  <c:v>-6.0856554761836605</c:v>
                </c:pt>
                <c:pt idx="236">
                  <c:v>-6.2693393685299252</c:v>
                </c:pt>
                <c:pt idx="237">
                  <c:v>-6.4523158990628797</c:v>
                </c:pt>
                <c:pt idx="238">
                  <c:v>-6.6345569860377163</c:v>
                </c:pt>
                <c:pt idx="239">
                  <c:v>-6.8160336733359461</c:v>
                </c:pt>
                <c:pt idx="240">
                  <c:v>-6.9967161235102093</c:v>
                </c:pt>
                <c:pt idx="241">
                  <c:v>-7.1765736127505502</c:v>
                </c:pt>
                <c:pt idx="242">
                  <c:v>-7.3555745279543485</c:v>
                </c:pt>
                <c:pt idx="243">
                  <c:v>-7.5336863660913558</c:v>
                </c:pt>
                <c:pt idx="244">
                  <c:v>-7.7108757360577513</c:v>
                </c:pt>
                <c:pt idx="245">
                  <c:v>-7.887108363216548</c:v>
                </c:pt>
                <c:pt idx="246">
                  <c:v>-8.0623490968235885</c:v>
                </c:pt>
                <c:pt idx="247">
                  <c:v>-8.2365619205406517</c:v>
                </c:pt>
                <c:pt idx="248">
                  <c:v>-8.4097099662338159</c:v>
                </c:pt>
                <c:pt idx="249">
                  <c:v>-8.5817555312538598</c:v>
                </c:pt>
                <c:pt idx="250">
                  <c:v>-8.752660099389086</c:v>
                </c:pt>
                <c:pt idx="251">
                  <c:v>-8.9223843656742847</c:v>
                </c:pt>
                <c:pt idx="252">
                  <c:v>-9.0908882652281786</c:v>
                </c:pt>
                <c:pt idx="253">
                  <c:v>-9.25813100628074</c:v>
                </c:pt>
                <c:pt idx="254">
                  <c:v>-9.4240711075332797</c:v>
                </c:pt>
                <c:pt idx="255">
                  <c:v>-9.5886664399779793</c:v>
                </c:pt>
                <c:pt idx="256">
                  <c:v>-9.7518742732780179</c:v>
                </c:pt>
                <c:pt idx="257">
                  <c:v>-9.9136513267883046</c:v>
                </c:pt>
                <c:pt idx="258">
                  <c:v>-10.073953825262972</c:v>
                </c:pt>
                <c:pt idx="259">
                  <c:v>-10.232737559267232</c:v>
                </c:pt>
                <c:pt idx="260">
                  <c:v>-10.38995795027332</c:v>
                </c:pt>
                <c:pt idx="261">
                  <c:v>-10.545570120382351</c:v>
                </c:pt>
                <c:pt idx="262">
                  <c:v>-10.699528966570956</c:v>
                </c:pt>
                <c:pt idx="263">
                  <c:v>-10.85178923931748</c:v>
                </c:pt>
                <c:pt idx="264">
                  <c:v>-11.002305625414531</c:v>
                </c:pt>
                <c:pt idx="265">
                  <c:v>-11.15103283472493</c:v>
                </c:pt>
                <c:pt idx="266">
                  <c:v>-11.297925690587876</c:v>
                </c:pt>
                <c:pt idx="267">
                  <c:v>-11.44293922352875</c:v>
                </c:pt>
                <c:pt idx="268">
                  <c:v>-11.586028767873167</c:v>
                </c:pt>
                <c:pt idx="269">
                  <c:v>-11.727150060815246</c:v>
                </c:pt>
                <c:pt idx="270">
                  <c:v>-11.866259343436116</c:v>
                </c:pt>
                <c:pt idx="271">
                  <c:v>-12.003313463121355</c:v>
                </c:pt>
                <c:pt idx="272">
                  <c:v>-12.138269976777377</c:v>
                </c:pt>
                <c:pt idx="273">
                  <c:v>-12.271087254206208</c:v>
                </c:pt>
                <c:pt idx="274">
                  <c:v>-12.401724580956992</c:v>
                </c:pt>
                <c:pt idx="275">
                  <c:v>-12.530142259941424</c:v>
                </c:pt>
                <c:pt idx="276">
                  <c:v>-12.656301711073022</c:v>
                </c:pt>
                <c:pt idx="277">
                  <c:v>-12.780165568171533</c:v>
                </c:pt>
                <c:pt idx="278">
                  <c:v>-12.901697772360563</c:v>
                </c:pt>
                <c:pt idx="279">
                  <c:v>-13.020863661186484</c:v>
                </c:pt>
                <c:pt idx="280">
                  <c:v>-13.137630052690522</c:v>
                </c:pt>
                <c:pt idx="281">
                  <c:v>-13.251965323682969</c:v>
                </c:pt>
                <c:pt idx="282">
                  <c:v>-13.36383948149409</c:v>
                </c:pt>
                <c:pt idx="283">
                  <c:v>-13.473224228511206</c:v>
                </c:pt>
                <c:pt idx="284">
                  <c:v>-13.580093018857545</c:v>
                </c:pt>
                <c:pt idx="285">
                  <c:v>-13.684421106620961</c:v>
                </c:pt>
                <c:pt idx="286">
                  <c:v>-13.786185585106562</c:v>
                </c:pt>
                <c:pt idx="287">
                  <c:v>-13.885365416656864</c:v>
                </c:pt>
                <c:pt idx="288">
                  <c:v>-13.981941452662722</c:v>
                </c:pt>
                <c:pt idx="289">
                  <c:v>-14.075896443473345</c:v>
                </c:pt>
                <c:pt idx="290">
                  <c:v>-14.167215038004933</c:v>
                </c:pt>
                <c:pt idx="291">
                  <c:v>-14.255883772939582</c:v>
                </c:pt>
                <c:pt idx="292">
                  <c:v>-14.34189105150643</c:v>
                </c:pt>
                <c:pt idx="293">
                  <c:v>-14.425227111930658</c:v>
                </c:pt>
                <c:pt idx="294">
                  <c:v>-14.505883985738786</c:v>
                </c:pt>
                <c:pt idx="295">
                  <c:v>-14.583855446199793</c:v>
                </c:pt>
                <c:pt idx="296">
                  <c:v>-14.659136947278553</c:v>
                </c:pt>
                <c:pt idx="297">
                  <c:v>-14.731725553564232</c:v>
                </c:pt>
                <c:pt idx="298">
                  <c:v>-14.801619861721759</c:v>
                </c:pt>
                <c:pt idx="299">
                  <c:v>-14.868819914087673</c:v>
                </c:pt>
                <c:pt idx="300">
                  <c:v>-14.933327105105514</c:v>
                </c:pt>
                <c:pt idx="301">
                  <c:v>-14.995144081351839</c:v>
                </c:pt>
                <c:pt idx="302">
                  <c:v>-15.054274635959363</c:v>
                </c:pt>
                <c:pt idx="303">
                  <c:v>-15.11072359828554</c:v>
                </c:pt>
                <c:pt idx="304">
                  <c:v>-15.164496719707357</c:v>
                </c:pt>
                <c:pt idx="305">
                  <c:v>-15.215600556448415</c:v>
                </c:pt>
                <c:pt idx="306">
                  <c:v>-15.264042350358144</c:v>
                </c:pt>
                <c:pt idx="307">
                  <c:v>-15.309829908568716</c:v>
                </c:pt>
                <c:pt idx="308">
                  <c:v>-15.352971482951451</c:v>
                </c:pt>
                <c:pt idx="309">
                  <c:v>-15.393475650284728</c:v>
                </c:pt>
                <c:pt idx="310">
                  <c:v>-15.431351194024112</c:v>
                </c:pt>
                <c:pt idx="311">
                  <c:v>-15.466606988542646</c:v>
                </c:pt>
                <c:pt idx="312">
                  <c:v>-15.499251886674601</c:v>
                </c:pt>
                <c:pt idx="313">
                  <c:v>-15.529294611360116</c:v>
                </c:pt>
                <c:pt idx="314">
                  <c:v>-15.556743652146841</c:v>
                </c:pt>
                <c:pt idx="315">
                  <c:v>-15.581607167257015</c:v>
                </c:pt>
                <c:pt idx="316">
                  <c:v>-15.603892891880911</c:v>
                </c:pt>
                <c:pt idx="317">
                  <c:v>-15.623608053305198</c:v>
                </c:pt>
                <c:pt idx="318">
                  <c:v>-15.640759293431081</c:v>
                </c:pt>
                <c:pt idx="319">
                  <c:v>-15.65535259918169</c:v>
                </c:pt>
                <c:pt idx="320">
                  <c:v>-15.667393241242227</c:v>
                </c:pt>
                <c:pt idx="321">
                  <c:v>-15.676885721519167</c:v>
                </c:pt>
                <c:pt idx="322">
                  <c:v>-15.683833729646635</c:v>
                </c:pt>
                <c:pt idx="323">
                  <c:v>-15.688240108811765</c:v>
                </c:pt>
                <c:pt idx="324">
                  <c:v>-15.69010683111067</c:v>
                </c:pt>
                <c:pt idx="325">
                  <c:v>-15.68943498259223</c:v>
                </c:pt>
                <c:pt idx="326">
                  <c:v>-15.68622475808446</c:v>
                </c:pt>
                <c:pt idx="327">
                  <c:v>-15.680475465845415</c:v>
                </c:pt>
                <c:pt idx="328">
                  <c:v>-15.672185542018557</c:v>
                </c:pt>
                <c:pt idx="329">
                  <c:v>-15.661352574817515</c:v>
                </c:pt>
                <c:pt idx="330">
                  <c:v>-15.647973338305551</c:v>
                </c:pt>
                <c:pt idx="331">
                  <c:v>-15.632043835579681</c:v>
                </c:pt>
                <c:pt idx="332">
                  <c:v>-15.613559351106607</c:v>
                </c:pt>
                <c:pt idx="333">
                  <c:v>-15.592514511907972</c:v>
                </c:pt>
                <c:pt idx="334">
                  <c:v>-15.568903357225167</c:v>
                </c:pt>
                <c:pt idx="335">
                  <c:v>-15.542719416245356</c:v>
                </c:pt>
                <c:pt idx="336">
                  <c:v>-15.513955793408369</c:v>
                </c:pt>
                <c:pt idx="337">
                  <c:v>-15.482605260761403</c:v>
                </c:pt>
                <c:pt idx="338">
                  <c:v>-15.448660356772741</c:v>
                </c:pt>
                <c:pt idx="339">
                  <c:v>-15.412113490965726</c:v>
                </c:pt>
                <c:pt idx="340">
                  <c:v>-15.372957053680857</c:v>
                </c:pt>
                <c:pt idx="341">
                  <c:v>-15.33118353023211</c:v>
                </c:pt>
                <c:pt idx="342">
                  <c:v>-15.286785618675506</c:v>
                </c:pt>
                <c:pt idx="343">
                  <c:v>-15.239756350373948</c:v>
                </c:pt>
                <c:pt idx="344">
                  <c:v>-15.190089212506217</c:v>
                </c:pt>
                <c:pt idx="345">
                  <c:v>-15.137778271642393</c:v>
                </c:pt>
                <c:pt idx="346">
                  <c:v>-15.082818297485652</c:v>
                </c:pt>
                <c:pt idx="347">
                  <c:v>-15.025204885870359</c:v>
                </c:pt>
                <c:pt idx="348">
                  <c:v>-14.964934580096777</c:v>
                </c:pt>
                <c:pt idx="349">
                  <c:v>-14.902004989690825</c:v>
                </c:pt>
                <c:pt idx="350">
                  <c:v>-14.836414905684611</c:v>
                </c:pt>
                <c:pt idx="351">
                  <c:v>-14.768164411540901</c:v>
                </c:pt>
                <c:pt idx="352">
                  <c:v>-14.697254988870283</c:v>
                </c:pt>
                <c:pt idx="353">
                  <c:v>-14.623689617134247</c:v>
                </c:pt>
                <c:pt idx="354">
                  <c:v>-14.547472866575688</c:v>
                </c:pt>
                <c:pt idx="355">
                  <c:v>-14.468610983677767</c:v>
                </c:pt>
                <c:pt idx="356">
                  <c:v>-14.387111968519207</c:v>
                </c:pt>
                <c:pt idx="357">
                  <c:v>-14.302985643469777</c:v>
                </c:pt>
                <c:pt idx="358">
                  <c:v>-14.216243712751615</c:v>
                </c:pt>
                <c:pt idx="359">
                  <c:v>-14.126899812479195</c:v>
                </c:pt>
                <c:pt idx="360">
                  <c:v>-14.03496955088559</c:v>
                </c:pt>
                <c:pt idx="361">
                  <c:v>-13.940470538535605</c:v>
                </c:pt>
                <c:pt idx="362">
                  <c:v>-13.843422408428376</c:v>
                </c:pt>
                <c:pt idx="363">
                  <c:v>-13.743846825988319</c:v>
                </c:pt>
                <c:pt idx="364">
                  <c:v>-13.641767489041445</c:v>
                </c:pt>
                <c:pt idx="365">
                  <c:v>-13.537210117974116</c:v>
                </c:pt>
                <c:pt idx="366">
                  <c:v>-13.43020243635781</c:v>
                </c:pt>
                <c:pt idx="367">
                  <c:v>-13.32077414241737</c:v>
                </c:pt>
                <c:pt idx="368">
                  <c:v>-13.20895687179873</c:v>
                </c:pt>
                <c:pt idx="369">
                  <c:v>-13.094784152167696</c:v>
                </c:pt>
                <c:pt idx="370">
                  <c:v>-12.978291350239919</c:v>
                </c:pt>
                <c:pt idx="371">
                  <c:v>-12.859515611898997</c:v>
                </c:pt>
                <c:pt idx="372">
                  <c:v>-12.738495796109468</c:v>
                </c:pt>
                <c:pt idx="373">
                  <c:v>-12.615272403372844</c:v>
                </c:pt>
                <c:pt idx="374">
                  <c:v>-12.489887499501842</c:v>
                </c:pt>
                <c:pt idx="375">
                  <c:v>-12.362384635512203</c:v>
                </c:pt>
                <c:pt idx="376">
                  <c:v>-12.232808764439271</c:v>
                </c:pt>
                <c:pt idx="377">
                  <c:v>-12.101206155890182</c:v>
                </c:pt>
                <c:pt idx="378">
                  <c:v>-11.96762430913564</c:v>
                </c:pt>
                <c:pt idx="379">
                  <c:v>-11.832111865529267</c:v>
                </c:pt>
                <c:pt idx="380">
                  <c:v>-11.694718521022017</c:v>
                </c:pt>
                <c:pt idx="381">
                  <c:v>-11.555494939509547</c:v>
                </c:pt>
                <c:pt idx="382">
                  <c:v>-11.414492667716633</c:v>
                </c:pt>
                <c:pt idx="383">
                  <c:v>-11.271764052283899</c:v>
                </c:pt>
                <c:pt idx="384">
                  <c:v>-11.127362159678997</c:v>
                </c:pt>
                <c:pt idx="385">
                  <c:v>-10.981340699509932</c:v>
                </c:pt>
                <c:pt idx="386">
                  <c:v>-10.833753951769626</c:v>
                </c:pt>
                <c:pt idx="387">
                  <c:v>-10.684656698492576</c:v>
                </c:pt>
                <c:pt idx="388">
                  <c:v>-10.534104160255531</c:v>
                </c:pt>
                <c:pt idx="389">
                  <c:v>-10.382151937905693</c:v>
                </c:pt>
                <c:pt idx="390">
                  <c:v>-10.228855959852297</c:v>
                </c:pt>
                <c:pt idx="391">
                  <c:v>-10.074272435210528</c:v>
                </c:pt>
                <c:pt idx="392">
                  <c:v>-9.9184578130452579</c:v>
                </c:pt>
                <c:pt idx="393">
                  <c:v>-9.7614687479177533</c:v>
                </c:pt>
                <c:pt idx="394">
                  <c:v>-9.6033620719020636</c:v>
                </c:pt>
                <c:pt idx="395">
                  <c:v>-9.4441947732021561</c:v>
                </c:pt>
                <c:pt idx="396">
                  <c:v>-9.2840239814676266</c:v>
                </c:pt>
                <c:pt idx="397">
                  <c:v>-9.1229069598770973</c:v>
                </c:pt>
                <c:pt idx="398">
                  <c:v>-8.9609011040343258</c:v>
                </c:pt>
                <c:pt idx="399">
                  <c:v>-8.7980639476959492</c:v>
                </c:pt>
                <c:pt idx="400">
                  <c:v>-8.634453175334853</c:v>
                </c:pt>
                <c:pt idx="401">
                  <c:v>-8.470126641522091</c:v>
                </c:pt>
                <c:pt idx="402">
                  <c:v>-8.3051423971002123</c:v>
                </c:pt>
                <c:pt idx="403">
                  <c:v>-8.1395587221065266</c:v>
                </c:pt>
                <c:pt idx="404">
                  <c:v>-7.9734341653962044</c:v>
                </c:pt>
                <c:pt idx="405">
                  <c:v>-7.8068275909073579</c:v>
                </c:pt>
                <c:pt idx="406">
                  <c:v>-7.6397982305033718</c:v>
                </c:pt>
                <c:pt idx="407">
                  <c:v>-7.472405743320893</c:v>
                </c:pt>
                <c:pt idx="408">
                  <c:v>-7.3047102815471714</c:v>
                </c:pt>
                <c:pt idx="409">
                  <c:v>-7.1367725625440412</c:v>
                </c:pt>
                <c:pt idx="410">
                  <c:v>-6.96865394722834</c:v>
                </c:pt>
                <c:pt idx="411">
                  <c:v>-6.8004165246103216</c:v>
                </c:pt>
                <c:pt idx="412">
                  <c:v>-6.6321232023824894</c:v>
                </c:pt>
                <c:pt idx="413">
                  <c:v>-6.4638378034356396</c:v>
                </c:pt>
                <c:pt idx="414">
                  <c:v>-6.2956251681638733</c:v>
                </c:pt>
                <c:pt idx="415">
                  <c:v>-6.1275512623987796</c:v>
                </c:pt>
                <c:pt idx="416">
                  <c:v>-5.9596832907863657</c:v>
                </c:pt>
                <c:pt idx="417">
                  <c:v>-5.7920898153888913</c:v>
                </c:pt>
                <c:pt idx="418">
                  <c:v>-5.624840879254589</c:v>
                </c:pt>
                <c:pt idx="419">
                  <c:v>-5.4580081346509068</c:v>
                </c:pt>
                <c:pt idx="420">
                  <c:v>-5.291664975602755</c:v>
                </c:pt>
                <c:pt idx="421">
                  <c:v>-5.1258866743111584</c:v>
                </c:pt>
                <c:pt idx="422">
                  <c:v>-4.9607505209529936</c:v>
                </c:pt>
                <c:pt idx="423">
                  <c:v>-4.7963359662736735</c:v>
                </c:pt>
                <c:pt idx="424">
                  <c:v>-4.6327247662874784</c:v>
                </c:pt>
                <c:pt idx="425">
                  <c:v>-4.47000112828478</c:v>
                </c:pt>
                <c:pt idx="426">
                  <c:v>-4.3082518572199211</c:v>
                </c:pt>
                <c:pt idx="427">
                  <c:v>-4.1475665014123502</c:v>
                </c:pt>
                <c:pt idx="428">
                  <c:v>-3.9880374963362981</c:v>
                </c:pt>
                <c:pt idx="429">
                  <c:v>-3.8297603051038633</c:v>
                </c:pt>
                <c:pt idx="430">
                  <c:v>-3.6728335540619552</c:v>
                </c:pt>
                <c:pt idx="431">
                  <c:v>-3.5173591617229727</c:v>
                </c:pt>
                <c:pt idx="432">
                  <c:v>-3.3634424590391383</c:v>
                </c:pt>
                <c:pt idx="433">
                  <c:v>-3.2111922988091894</c:v>
                </c:pt>
                <c:pt idx="434">
                  <c:v>-3.0607211517778987</c:v>
                </c:pt>
                <c:pt idx="435">
                  <c:v>-2.912145186757126</c:v>
                </c:pt>
                <c:pt idx="436">
                  <c:v>-2.7655843318670681</c:v>
                </c:pt>
                <c:pt idx="437">
                  <c:v>-2.621162313774982</c:v>
                </c:pt>
                <c:pt idx="438">
                  <c:v>-2.4790066715989063</c:v>
                </c:pt>
                <c:pt idx="439">
                  <c:v>-2.3392487419610246</c:v>
                </c:pt>
                <c:pt idx="440">
                  <c:v>-2.2020236115226002</c:v>
                </c:pt>
                <c:pt idx="441">
                  <c:v>-2.0674700332246583</c:v>
                </c:pt>
                <c:pt idx="442">
                  <c:v>-1.9357303024074046</c:v>
                </c:pt>
                <c:pt idx="443">
                  <c:v>-1.8069500889988688</c:v>
                </c:pt>
                <c:pt idx="444">
                  <c:v>-1.6812782220629441</c:v>
                </c:pt>
                <c:pt idx="445">
                  <c:v>-1.5588664231962062</c:v>
                </c:pt>
                <c:pt idx="446">
                  <c:v>-1.4398689855694453</c:v>
                </c:pt>
                <c:pt idx="447">
                  <c:v>-1.3244423958434979</c:v>
                </c:pt>
                <c:pt idx="448">
                  <c:v>-1.2127448967530225</c:v>
                </c:pt>
                <c:pt idx="449">
                  <c:v>-1.1049359888621868</c:v>
                </c:pt>
                <c:pt idx="450">
                  <c:v>-1.0011758708502692</c:v>
                </c:pt>
                <c:pt idx="451">
                  <c:v>-0.90162481868912092</c:v>
                </c:pt>
                <c:pt idx="452">
                  <c:v>-0.80644250521594907</c:v>
                </c:pt>
                <c:pt idx="453">
                  <c:v>-0.71578726287710626</c:v>
                </c:pt>
                <c:pt idx="454">
                  <c:v>-0.62981529379650014</c:v>
                </c:pt>
                <c:pt idx="455">
                  <c:v>-0.54867983278230159</c:v>
                </c:pt>
                <c:pt idx="456">
                  <c:v>-0.47253027038650247</c:v>
                </c:pt>
                <c:pt idx="457">
                  <c:v>-0.40151124463517046</c:v>
                </c:pt>
                <c:pt idx="458">
                  <c:v>-0.33576171149939965</c:v>
                </c:pt>
                <c:pt idx="459">
                  <c:v>-0.27541400552301898</c:v>
                </c:pt>
                <c:pt idx="460">
                  <c:v>-0.22059290320300595</c:v>
                </c:pt>
                <c:pt idx="461">
                  <c:v>-0.17141470267823036</c:v>
                </c:pt>
                <c:pt idx="462">
                  <c:v>-0.12798633395753486</c:v>
                </c:pt>
                <c:pt idx="463">
                  <c:v>-9.0404514265175179E-2</c:v>
                </c:pt>
                <c:pt idx="464">
                  <c:v>-5.8754963053665649E-2</c:v>
                </c:pt>
                <c:pt idx="465">
                  <c:v>-3.3111690810877371E-2</c:v>
                </c:pt>
                <c:pt idx="466">
                  <c:v>-1.3536374943732528E-2</c:v>
                </c:pt>
                <c:pt idx="467">
                  <c:v>-7.7834774268448117E-5</c:v>
                </c:pt>
                <c:pt idx="468">
                  <c:v>7.2283839537945474E-3</c:v>
                </c:pt>
                <c:pt idx="469">
                  <c:v>8.3603066414337391E-3</c:v>
                </c:pt>
                <c:pt idx="470">
                  <c:v>3.3097033231395531E-3</c:v>
                </c:pt>
                <c:pt idx="471">
                  <c:v>-7.9178655903398634E-3</c:v>
                </c:pt>
                <c:pt idx="472">
                  <c:v>-2.5303132373894102E-2</c:v>
                </c:pt>
                <c:pt idx="473">
                  <c:v>-4.881333226954622E-2</c:v>
                </c:pt>
                <c:pt idx="474">
                  <c:v>-7.840253680760581E-2</c:v>
                </c:pt>
                <c:pt idx="475">
                  <c:v>-0.11401210354943188</c:v>
                </c:pt>
                <c:pt idx="476">
                  <c:v>-0.15557123341532489</c:v>
                </c:pt>
                <c:pt idx="477">
                  <c:v>-0.20299762484800918</c:v>
                </c:pt>
                <c:pt idx="478">
                  <c:v>-0.25619821250408864</c:v>
                </c:pt>
                <c:pt idx="479">
                  <c:v>-0.31506997699619577</c:v>
                </c:pt>
                <c:pt idx="480">
                  <c:v>-0.37950081145632097</c:v>
                </c:pt>
                <c:pt idx="481">
                  <c:v>-0.44937043034588031</c:v>
                </c:pt>
                <c:pt idx="482">
                  <c:v>-0.52455130599336131</c:v>
                </c:pt>
                <c:pt idx="483">
                  <c:v>-0.60490961875482008</c:v>
                </c:pt>
                <c:pt idx="484">
                  <c:v>-0.6903062074355184</c:v>
                </c:pt>
                <c:pt idx="485">
                  <c:v>-0.78059750761523117</c:v>
                </c:pt>
                <c:pt idx="486">
                  <c:v>-0.87563646674218276</c:v>
                </c:pt>
                <c:pt idx="487">
                  <c:v>-0.9752734262306515</c:v>
                </c:pt>
                <c:pt idx="488">
                  <c:v>-1.0793569622651487</c:v>
                </c:pt>
                <c:pt idx="489">
                  <c:v>-1.1877346785194278</c:v>
                </c:pt>
                <c:pt idx="490">
                  <c:v>-1.3002539454932838</c:v>
                </c:pt>
                <c:pt idx="491">
                  <c:v>-1.4167625826180585</c:v>
                </c:pt>
                <c:pt idx="492">
                  <c:v>-1.5371094806342669</c:v>
                </c:pt>
                <c:pt idx="493">
                  <c:v>-1.661145162994859</c:v>
                </c:pt>
                <c:pt idx="494">
                  <c:v>-1.7887222861596586</c:v>
                </c:pt>
                <c:pt idx="495">
                  <c:v>-1.9196960796156626</c:v>
                </c:pt>
                <c:pt idx="496">
                  <c:v>-2.0539247272869128</c:v>
                </c:pt>
                <c:pt idx="497">
                  <c:v>-2.1912696926679227</c:v>
                </c:pt>
                <c:pt idx="498">
                  <c:v>-2.3315959905591579</c:v>
                </c:pt>
                <c:pt idx="499">
                  <c:v>-2.4747724086769218</c:v>
                </c:pt>
                <c:pt idx="500">
                  <c:v>-2.6206716827032572</c:v>
                </c:pt>
                <c:pt idx="501">
                  <c:v>-2.7691706285052984</c:v>
                </c:pt>
                <c:pt idx="502">
                  <c:v>-2.92015023534216</c:v>
                </c:pt>
                <c:pt idx="503">
                  <c:v>-3.0734957238727709</c:v>
                </c:pt>
                <c:pt idx="504">
                  <c:v>-3.2290965727106657</c:v>
                </c:pt>
                <c:pt idx="505">
                  <c:v>-3.3868465171544364</c:v>
                </c:pt>
                <c:pt idx="506">
                  <c:v>-3.5466435235559062</c:v>
                </c:pt>
                <c:pt idx="507">
                  <c:v>-3.7083897425976464</c:v>
                </c:pt>
                <c:pt idx="508">
                  <c:v>-3.8719914445338905</c:v>
                </c:pt>
                <c:pt idx="509">
                  <c:v>-4.0373589392222833</c:v>
                </c:pt>
                <c:pt idx="510">
                  <c:v>-4.2044064835364665</c:v>
                </c:pt>
                <c:pt idx="511">
                  <c:v>-4.3730521785159713</c:v>
                </c:pt>
                <c:pt idx="512">
                  <c:v>-4.5432178583762823</c:v>
                </c:pt>
                <c:pt idx="513">
                  <c:v>-4.7148289732779691</c:v>
                </c:pt>
                <c:pt idx="514">
                  <c:v>-4.8878144675396404</c:v>
                </c:pt>
                <c:pt idx="515">
                  <c:v>-5.0621066547767466</c:v>
                </c:pt>
                <c:pt idx="516">
                  <c:v>-5.2376410912597997</c:v>
                </c:pt>
                <c:pt idx="517">
                  <c:v>-5.4143564486114588</c:v>
                </c:pt>
                <c:pt idx="518">
                  <c:v>-5.5921943868009327</c:v>
                </c:pt>
                <c:pt idx="519">
                  <c:v>-5.771099428248581</c:v>
                </c:pt>
                <c:pt idx="520">
                  <c:v>-5.9510188337238725</c:v>
                </c:pt>
                <c:pt idx="521">
                  <c:v>-6.1319024805990328</c:v>
                </c:pt>
                <c:pt idx="522">
                  <c:v>-6.3137027439180269</c:v>
                </c:pt>
                <c:pt idx="523">
                  <c:v>-6.4963743806465688</c:v>
                </c:pt>
                <c:pt idx="524">
                  <c:v>-6.6798744173879987</c:v>
                </c:pt>
                <c:pt idx="525">
                  <c:v>-6.864162041776682</c:v>
                </c:pt>
                <c:pt idx="526">
                  <c:v>-7.0491984977014877</c:v>
                </c:pt>
                <c:pt idx="527">
                  <c:v>-7.23494698445651</c:v>
                </c:pt>
                <c:pt idx="528">
                  <c:v>-7.4213725598709299</c:v>
                </c:pt>
                <c:pt idx="529">
                  <c:v>-7.608442047434818</c:v>
                </c:pt>
                <c:pt idx="530">
                  <c:v>-7.7961239473972421</c:v>
                </c:pt>
                <c:pt idx="531">
                  <c:v>-7.9843883517979997</c:v>
                </c:pt>
                <c:pt idx="532">
                  <c:v>-8.1732068633592689</c:v>
                </c:pt>
                <c:pt idx="533">
                  <c:v>-8.3625525181582994</c:v>
                </c:pt>
                <c:pt idx="534">
                  <c:v>-8.5523997119773352</c:v>
                </c:pt>
                <c:pt idx="535">
                  <c:v>-8.7427241302234151</c:v>
                </c:pt>
                <c:pt idx="536">
                  <c:v>-8.9335026812987159</c:v>
                </c:pt>
                <c:pt idx="537">
                  <c:v>-9.124713433299199</c:v>
                </c:pt>
                <c:pt idx="538">
                  <c:v>-9.3163355539121522</c:v>
                </c:pt>
                <c:pt idx="539">
                  <c:v>-9.50834925338415</c:v>
                </c:pt>
                <c:pt idx="540">
                  <c:v>-9.700735730427569</c:v>
                </c:pt>
                <c:pt idx="541">
                  <c:v>-9.8934771209389734</c:v>
                </c:pt>
              </c:numCache>
            </c:numRef>
          </c:yVal>
          <c:smooth val="1"/>
          <c:extLst>
            <c:ext xmlns:c16="http://schemas.microsoft.com/office/drawing/2014/chart" uri="{C3380CC4-5D6E-409C-BE32-E72D297353CC}">
              <c16:uniqueId val="{00000000-69E5-488F-8178-EA81D5C894E7}"/>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-27.078802305516099</c:v>
                </c:pt>
                <c:pt idx="1">
                  <c:v>-27.61655271940063</c:v>
                </c:pt>
                <c:pt idx="2">
                  <c:v>-28.161375411701101</c:v>
                </c:pt>
                <c:pt idx="3">
                  <c:v>-28.713162147631749</c:v>
                </c:pt>
                <c:pt idx="4">
                  <c:v>-29.271792934514409</c:v>
                </c:pt>
                <c:pt idx="5">
                  <c:v>-29.837135836166556</c:v>
                </c:pt>
                <c:pt idx="6">
                  <c:v>-30.409046824227183</c:v>
                </c:pt>
                <c:pt idx="7">
                  <c:v>-30.987369669463178</c:v>
                </c:pt>
                <c:pt idx="8">
                  <c:v>-31.57193587597941</c:v>
                </c:pt>
                <c:pt idx="9">
                  <c:v>-32.162564661093143</c:v>
                </c:pt>
                <c:pt idx="10">
                  <c:v>-32.759062983428997</c:v>
                </c:pt>
                <c:pt idx="11">
                  <c:v>-33.361225621541202</c:v>
                </c:pt>
                <c:pt idx="12">
                  <c:v>-33.968835305081186</c:v>
                </c:pt>
                <c:pt idx="13">
                  <c:v>-34.581662900194146</c:v>
                </c:pt>
                <c:pt idx="14">
                  <c:v>-35.199467650449897</c:v>
                </c:pt>
                <c:pt idx="15">
                  <c:v>-35.821997474210256</c:v>
                </c:pt>
                <c:pt idx="16">
                  <c:v>-36.448989318878574</c:v>
                </c:pt>
                <c:pt idx="17">
                  <c:v>-37.080169572009119</c:v>
                </c:pt>
                <c:pt idx="18">
                  <c:v>-37.715254528749298</c:v>
                </c:pt>
                <c:pt idx="19">
                  <c:v>-38.353950914571172</c:v>
                </c:pt>
                <c:pt idx="20">
                  <c:v>-38.995956461717881</c:v>
                </c:pt>
                <c:pt idx="21">
                  <c:v>-39.640960537255729</c:v>
                </c:pt>
                <c:pt idx="22">
                  <c:v>-40.288644820096842</c:v>
                </c:pt>
                <c:pt idx="23">
                  <c:v>-40.938684023837787</c:v>
                </c:pt>
                <c:pt idx="24">
                  <c:v>-41.590746661759091</c:v>
                </c:pt>
                <c:pt idx="25">
                  <c:v>-42.244495849877985</c:v>
                </c:pt>
                <c:pt idx="26">
                  <c:v>-42.899590143494919</c:v>
                </c:pt>
                <c:pt idx="27">
                  <c:v>-43.555684402313531</c:v>
                </c:pt>
                <c:pt idx="28">
                  <c:v>-44.21243067886455</c:v>
                </c:pt>
                <c:pt idx="29">
                  <c:v>-44.869479124696269</c:v>
                </c:pt>
                <c:pt idx="30">
                  <c:v>-45.526478908582988</c:v>
                </c:pt>
                <c:pt idx="31">
                  <c:v>-46.183079140861643</c:v>
                </c:pt>
                <c:pt idx="32">
                  <c:v>-46.838929797920422</c:v>
                </c:pt>
                <c:pt idx="33">
                  <c:v>-47.493682640888672</c:v>
                </c:pt>
                <c:pt idx="34">
                  <c:v>-48.146992122608317</c:v>
                </c:pt>
                <c:pt idx="35">
                  <c:v>-48.798516277142681</c:v>
                </c:pt>
                <c:pt idx="36">
                  <c:v>-49.447917586265298</c:v>
                </c:pt>
                <c:pt idx="37">
                  <c:v>-50.094863817644431</c:v>
                </c:pt>
                <c:pt idx="38">
                  <c:v>-50.73902882977616</c:v>
                </c:pt>
                <c:pt idx="39">
                  <c:v>-51.380093339090052</c:v>
                </c:pt>
                <c:pt idx="40">
                  <c:v>-52.017745645086762</c:v>
                </c:pt>
                <c:pt idx="41">
                  <c:v>-52.651682309829205</c:v>
                </c:pt>
                <c:pt idx="42">
                  <c:v>-53.281608788598568</c:v>
                </c:pt>
                <c:pt idx="43">
                  <c:v>-53.907240009051556</c:v>
                </c:pt>
                <c:pt idx="44">
                  <c:v>-54.528300896737107</c:v>
                </c:pt>
                <c:pt idx="45">
                  <c:v>-55.144526845368624</c:v>
                </c:pt>
                <c:pt idx="46">
                  <c:v>-55.755664130771443</c:v>
                </c:pt>
                <c:pt idx="47">
                  <c:v>-56.361470267958687</c:v>
                </c:pt>
                <c:pt idx="48">
                  <c:v>-56.961714311270384</c:v>
                </c:pt>
                <c:pt idx="49">
                  <c:v>-57.556177098006991</c:v>
                </c:pt>
                <c:pt idx="50">
                  <c:v>-58.14465143642574</c:v>
                </c:pt>
                <c:pt idx="51">
                  <c:v>-58.726942239384364</c:v>
                </c:pt>
                <c:pt idx="52">
                  <c:v>-59.302866605294298</c:v>
                </c:pt>
                <c:pt idx="53">
                  <c:v>-59.87225384838456</c:v>
                </c:pt>
                <c:pt idx="54">
                  <c:v>-60.434945480562227</c:v>
                </c:pt>
                <c:pt idx="55">
                  <c:v>-60.990795147415604</c:v>
                </c:pt>
                <c:pt idx="56">
                  <c:v>-61.539668521109647</c:v>
                </c:pt>
                <c:pt idx="57">
                  <c:v>-62.081443153085374</c:v>
                </c:pt>
                <c:pt idx="58">
                  <c:v>-62.616008289601908</c:v>
                </c:pt>
                <c:pt idx="59">
                  <c:v>-63.143264653237708</c:v>
                </c:pt>
                <c:pt idx="60">
                  <c:v>-63.663124193521213</c:v>
                </c:pt>
                <c:pt idx="61">
                  <c:v>-64.175509809857857</c:v>
                </c:pt>
                <c:pt idx="62">
                  <c:v>-64.680355049915491</c:v>
                </c:pt>
                <c:pt idx="63">
                  <c:v>-65.177603786566095</c:v>
                </c:pt>
                <c:pt idx="64">
                  <c:v>-65.667209876412031</c:v>
                </c:pt>
                <c:pt idx="65">
                  <c:v>-66.149136802826931</c:v>
                </c:pt>
                <c:pt idx="66">
                  <c:v>-66.623357306322276</c:v>
                </c:pt>
                <c:pt idx="67">
                  <c:v>-67.089853004920201</c:v>
                </c:pt>
                <c:pt idx="68">
                  <c:v>-67.548614007064543</c:v>
                </c:pt>
                <c:pt idx="69">
                  <c:v>-67.999638519451082</c:v>
                </c:pt>
                <c:pt idx="70">
                  <c:v>-68.442932451994537</c:v>
                </c:pt>
                <c:pt idx="71">
                  <c:v>-68.878509021983504</c:v>
                </c:pt>
                <c:pt idx="72">
                  <c:v>-69.306388359305444</c:v>
                </c:pt>
                <c:pt idx="73">
                  <c:v>-69.726597114461725</c:v>
                </c:pt>
                <c:pt idx="74">
                  <c:v>-70.139168070918601</c:v>
                </c:pt>
                <c:pt idx="75">
                  <c:v>-70.544139763183182</c:v>
                </c:pt>
                <c:pt idx="76">
                  <c:v>-70.941556101833328</c:v>
                </c:pt>
                <c:pt idx="77">
                  <c:v>-71.331466006581479</c:v>
                </c:pt>
                <c:pt idx="78">
                  <c:v>-71.71392304830151</c:v>
                </c:pt>
                <c:pt idx="79">
                  <c:v>-72.088985100817027</c:v>
                </c:pt>
                <c:pt idx="80">
                  <c:v>-72.456714003114513</c:v>
                </c:pt>
                <c:pt idx="81">
                  <c:v>-72.81717523252793</c:v>
                </c:pt>
                <c:pt idx="82">
                  <c:v>-73.170437589323811</c:v>
                </c:pt>
                <c:pt idx="83">
                  <c:v>-73.516572893017653</c:v>
                </c:pt>
                <c:pt idx="84">
                  <c:v>-73.855655690650849</c:v>
                </c:pt>
                <c:pt idx="85">
                  <c:v>-74.187762977176064</c:v>
                </c:pt>
                <c:pt idx="86">
                  <c:v>-74.512973928016478</c:v>
                </c:pt>
                <c:pt idx="87">
                  <c:v>-74.831369643794091</c:v>
                </c:pt>
                <c:pt idx="88">
                  <c:v>-75.143032907161981</c:v>
                </c:pt>
                <c:pt idx="89">
                  <c:v>-75.448047951615152</c:v>
                </c:pt>
                <c:pt idx="90">
                  <c:v>-75.746500242109605</c:v>
                </c:pt>
                <c:pt idx="91">
                  <c:v>-76.038476267274262</c:v>
                </c:pt>
                <c:pt idx="92">
                  <c:v>-76.324063342965843</c:v>
                </c:pt>
                <c:pt idx="93">
                  <c:v>-76.603349426882517</c:v>
                </c:pt>
                <c:pt idx="94">
                  <c:v>-76.87642294393288</c:v>
                </c:pt>
                <c:pt idx="95">
                  <c:v>-77.143372622027286</c:v>
                </c:pt>
                <c:pt idx="96">
                  <c:v>-77.404287337950024</c:v>
                </c:pt>
                <c:pt idx="97">
                  <c:v>-77.659255972951897</c:v>
                </c:pt>
                <c:pt idx="98">
                  <c:v>-77.908367277697437</c:v>
                </c:pt>
                <c:pt idx="99">
                  <c:v>-78.151709746194314</c:v>
                </c:pt>
                <c:pt idx="100">
                  <c:v>-78.389371498326284</c:v>
                </c:pt>
                <c:pt idx="101">
                  <c:v>-78.621440170614633</c:v>
                </c:pt>
                <c:pt idx="102">
                  <c:v>-78.848002814832014</c:v>
                </c:pt>
                <c:pt idx="103">
                  <c:v>-79.069145804096067</c:v>
                </c:pt>
                <c:pt idx="104">
                  <c:v>-79.28495474607567</c:v>
                </c:pt>
                <c:pt idx="105">
                  <c:v>-79.495514402949411</c:v>
                </c:pt>
                <c:pt idx="106">
                  <c:v>-79.700908617762991</c:v>
                </c:pt>
                <c:pt idx="107">
                  <c:v>-79.901220246840836</c:v>
                </c:pt>
                <c:pt idx="108">
                  <c:v>-80.096531097917037</c:v>
                </c:pt>
                <c:pt idx="109">
                  <c:v>-80.286921873660901</c:v>
                </c:pt>
                <c:pt idx="110">
                  <c:v>-80.472472120282148</c:v>
                </c:pt>
                <c:pt idx="111">
                  <c:v>-80.653260180913009</c:v>
                </c:pt>
                <c:pt idx="112">
                  <c:v>-80.829363153474702</c:v>
                </c:pt>
                <c:pt idx="113">
                  <c:v>-81.000856852747788</c:v>
                </c:pt>
                <c:pt idx="114">
                  <c:v>-81.167815776377068</c:v>
                </c:pt>
                <c:pt idx="115">
                  <c:v>-81.330313074553089</c:v>
                </c:pt>
                <c:pt idx="116">
                  <c:v>-81.488420523124645</c:v>
                </c:pt>
                <c:pt idx="117">
                  <c:v>-81.642208499906033</c:v>
                </c:pt>
                <c:pt idx="118">
                  <c:v>-81.791745963956217</c:v>
                </c:pt>
                <c:pt idx="119">
                  <c:v>-81.937100437615854</c:v>
                </c:pt>
                <c:pt idx="120">
                  <c:v>-82.078337991100682</c:v>
                </c:pt>
                <c:pt idx="121">
                  <c:v>-82.215523229458157</c:v>
                </c:pt>
                <c:pt idx="122">
                  <c:v>-82.348719281705797</c:v>
                </c:pt>
                <c:pt idx="123">
                  <c:v>-82.477987791979061</c:v>
                </c:pt>
                <c:pt idx="124">
                  <c:v>-82.603388912524878</c:v>
                </c:pt>
                <c:pt idx="125">
                  <c:v>-82.724981298388087</c:v>
                </c:pt>
                <c:pt idx="126">
                  <c:v>-82.842822103644707</c:v>
                </c:pt>
                <c:pt idx="127">
                  <c:v>-82.956966979045205</c:v>
                </c:pt>
                <c:pt idx="128">
                  <c:v>-83.067470070939265</c:v>
                </c:pt>
                <c:pt idx="129">
                  <c:v>-83.174384021360908</c:v>
                </c:pt>
                <c:pt idx="130">
                  <c:v>-83.277759969159092</c:v>
                </c:pt>
                <c:pt idx="131">
                  <c:v>-83.377647552068538</c:v>
                </c:pt>
                <c:pt idx="132">
                  <c:v>-83.474094909618543</c:v>
                </c:pt>
                <c:pt idx="133">
                  <c:v>-83.567148686788045</c:v>
                </c:pt>
                <c:pt idx="134">
                  <c:v>-83.656854038316851</c:v>
                </c:pt>
                <c:pt idx="135">
                  <c:v>-83.743254633592642</c:v>
                </c:pt>
                <c:pt idx="136">
                  <c:v>-83.826392662036298</c:v>
                </c:pt>
                <c:pt idx="137">
                  <c:v>-83.906308838913603</c:v>
                </c:pt>
                <c:pt idx="138">
                  <c:v>-83.983042411507711</c:v>
                </c:pt>
                <c:pt idx="139">
                  <c:v>-84.056631165589607</c:v>
                </c:pt>
                <c:pt idx="140">
                  <c:v>-84.127111432128928</c:v>
                </c:pt>
                <c:pt idx="141">
                  <c:v>-84.194518094192645</c:v>
                </c:pt>
                <c:pt idx="142">
                  <c:v>-84.258884593980923</c:v>
                </c:pt>
                <c:pt idx="143">
                  <c:v>-84.320242939955364</c:v>
                </c:pt>
                <c:pt idx="144">
                  <c:v>-84.378623714017181</c:v>
                </c:pt>
                <c:pt idx="145">
                  <c:v>-84.434056078696699</c:v>
                </c:pt>
                <c:pt idx="146">
                  <c:v>-84.486567784318225</c:v>
                </c:pt>
                <c:pt idx="147">
                  <c:v>-84.536185176108432</c:v>
                </c:pt>
                <c:pt idx="148">
                  <c:v>-84.582933201218026</c:v>
                </c:pt>
                <c:pt idx="149">
                  <c:v>-84.626835415630353</c:v>
                </c:pt>
                <c:pt idx="150">
                  <c:v>-84.667913990932306</c:v>
                </c:pt>
                <c:pt idx="151">
                  <c:v>-84.70618972092629</c:v>
                </c:pt>
                <c:pt idx="152">
                  <c:v>-84.741682028063408</c:v>
                </c:pt>
                <c:pt idx="153">
                  <c:v>-84.77440896968146</c:v>
                </c:pt>
                <c:pt idx="154">
                  <c:v>-84.804387244032597</c:v>
                </c:pt>
                <c:pt idx="155">
                  <c:v>-84.83163219608825</c:v>
                </c:pt>
                <c:pt idx="156">
                  <c:v>-84.856157823110621</c:v>
                </c:pt>
                <c:pt idx="157">
                  <c:v>-84.87797677998239</c:v>
                </c:pt>
                <c:pt idx="158">
                  <c:v>-84.897100384288194</c:v>
                </c:pt>
                <c:pt idx="159">
                  <c:v>-84.913538621142905</c:v>
                </c:pt>
                <c:pt idx="160">
                  <c:v>-84.927300147764612</c:v>
                </c:pt>
                <c:pt idx="161">
                  <c:v>-84.938392297790713</c:v>
                </c:pt>
                <c:pt idx="162">
                  <c:v>-84.946821085338996</c:v>
                </c:pt>
                <c:pt idx="163">
                  <c:v>-84.952591208816031</c:v>
                </c:pt>
                <c:pt idx="164">
                  <c:v>-84.955706054478028</c:v>
                </c:pt>
                <c:pt idx="165">
                  <c:v>-84.956167699750466</c:v>
                </c:pt>
                <c:pt idx="166">
                  <c:v>-84.953976916315284</c:v>
                </c:pt>
                <c:pt idx="167">
                  <c:v>-84.949133172976445</c:v>
                </c:pt>
                <c:pt idx="168">
                  <c:v>-84.94163463831552</c:v>
                </c:pt>
                <c:pt idx="169">
                  <c:v>-84.931478183152535</c:v>
                </c:pt>
                <c:pt idx="170">
                  <c:v>-84.918659382828523</c:v>
                </c:pt>
                <c:pt idx="171">
                  <c:v>-84.903172519327981</c:v>
                </c:pt>
                <c:pt idx="172">
                  <c:v>-84.885010583263195</c:v>
                </c:pt>
                <c:pt idx="173">
                  <c:v>-84.864165275742309</c:v>
                </c:pt>
                <c:pt idx="174">
                  <c:v>-84.840627010148367</c:v>
                </c:pt>
                <c:pt idx="175">
                  <c:v>-84.814384913856074</c:v>
                </c:pt>
                <c:pt idx="176">
                  <c:v>-84.785426829918165</c:v>
                </c:pt>
                <c:pt idx="177">
                  <c:v>-84.753739318754299</c:v>
                </c:pt>
                <c:pt idx="178">
                  <c:v>-84.71930765987932</c:v>
                </c:pt>
                <c:pt idx="179">
                  <c:v>-84.682115853709973</c:v>
                </c:pt>
                <c:pt idx="180">
                  <c:v>-84.64214662349346</c:v>
                </c:pt>
                <c:pt idx="181">
                  <c:v>-84.599381417403052</c:v>
                </c:pt>
                <c:pt idx="182">
                  <c:v>-84.553800410851153</c:v>
                </c:pt>
                <c:pt idx="183">
                  <c:v>-84.505382509072675</c:v>
                </c:pt>
                <c:pt idx="184">
                  <c:v>-84.454105350036315</c:v>
                </c:pt>
                <c:pt idx="185">
                  <c:v>-84.399945307745256</c:v>
                </c:pt>
                <c:pt idx="186">
                  <c:v>-84.342877495992838</c:v>
                </c:pt>
                <c:pt idx="187">
                  <c:v>-84.282875772644061</c:v>
                </c:pt>
                <c:pt idx="188">
                  <c:v>-84.219912744518325</c:v>
                </c:pt>
                <c:pt idx="189">
                  <c:v>-84.153959772953428</c:v>
                </c:pt>
                <c:pt idx="190">
                  <c:v>-84.084986980137799</c:v>
                </c:pt>
                <c:pt idx="191">
                  <c:v>-84.01296325630129</c:v>
                </c:pt>
                <c:pt idx="192">
                  <c:v>-83.937856267863538</c:v>
                </c:pt>
                <c:pt idx="193">
                  <c:v>-83.859632466643021</c:v>
                </c:pt>
                <c:pt idx="194">
                  <c:v>-83.778257100237695</c:v>
                </c:pt>
                <c:pt idx="195">
                  <c:v>-83.693694223694493</c:v>
                </c:pt>
                <c:pt idx="196">
                  <c:v>-83.605906712592883</c:v>
                </c:pt>
                <c:pt idx="197">
                  <c:v>-83.514856277675293</c:v>
                </c:pt>
                <c:pt idx="198">
                  <c:v>-83.420503481163394</c:v>
                </c:pt>
                <c:pt idx="199">
                  <c:v>-83.322807754910016</c:v>
                </c:pt>
                <c:pt idx="200">
                  <c:v>-83.221727420544696</c:v>
                </c:pt>
                <c:pt idx="201">
                  <c:v>-83.117219711776613</c:v>
                </c:pt>
                <c:pt idx="202">
                  <c:v>-83.009240799033861</c:v>
                </c:pt>
                <c:pt idx="203">
                  <c:v>-82.897745816621565</c:v>
                </c:pt>
                <c:pt idx="204">
                  <c:v>-82.78268889259553</c:v>
                </c:pt>
                <c:pt idx="205">
                  <c:v>-82.664023181556487</c:v>
                </c:pt>
                <c:pt idx="206">
                  <c:v>-82.541700900580778</c:v>
                </c:pt>
                <c:pt idx="207">
                  <c:v>-82.415673368514646</c:v>
                </c:pt>
                <c:pt idx="208">
                  <c:v>-82.285891048869672</c:v>
                </c:pt>
                <c:pt idx="209">
                  <c:v>-82.152303596567933</c:v>
                </c:pt>
                <c:pt idx="210">
                  <c:v>-82.01485990879786</c:v>
                </c:pt>
                <c:pt idx="211">
                  <c:v>-81.873508180251747</c:v>
                </c:pt>
                <c:pt idx="212">
                  <c:v>-81.728195963027972</c:v>
                </c:pt>
                <c:pt idx="213">
                  <c:v>-81.578870231492076</c:v>
                </c:pt>
                <c:pt idx="214">
                  <c:v>-81.425477452402362</c:v>
                </c:pt>
                <c:pt idx="215">
                  <c:v>-81.267963660615294</c:v>
                </c:pt>
                <c:pt idx="216">
                  <c:v>-81.106274540698251</c:v>
                </c:pt>
                <c:pt idx="217">
                  <c:v>-80.940355514784898</c:v>
                </c:pt>
                <c:pt idx="218">
                  <c:v>-80.770151837020904</c:v>
                </c:pt>
                <c:pt idx="219">
                  <c:v>-80.595608694951167</c:v>
                </c:pt>
                <c:pt idx="220">
                  <c:v>-80.416671318213957</c:v>
                </c:pt>
                <c:pt idx="221">
                  <c:v>-80.23328509490625</c:v>
                </c:pt>
                <c:pt idx="222">
                  <c:v>-80.045395695995808</c:v>
                </c:pt>
                <c:pt idx="223">
                  <c:v>-79.852949208154484</c:v>
                </c:pt>
                <c:pt idx="224">
                  <c:v>-79.655892275389959</c:v>
                </c:pt>
                <c:pt idx="225">
                  <c:v>-79.454172249852604</c:v>
                </c:pt>
                <c:pt idx="226">
                  <c:v>-79.24773735219047</c:v>
                </c:pt>
                <c:pt idx="227">
                  <c:v>-79.036536841817707</c:v>
                </c:pt>
                <c:pt idx="228">
                  <c:v>-78.820521197456003</c:v>
                </c:pt>
                <c:pt idx="229">
                  <c:v>-78.59964230828885</c:v>
                </c:pt>
                <c:pt idx="230">
                  <c:v>-78.373853676061259</c:v>
                </c:pt>
                <c:pt idx="231">
                  <c:v>-78.143110628426399</c:v>
                </c:pt>
                <c:pt idx="232">
                  <c:v>-77.907370543821486</c:v>
                </c:pt>
                <c:pt idx="233">
                  <c:v>-77.666593088121033</c:v>
                </c:pt>
                <c:pt idx="234">
                  <c:v>-77.42074046327869</c:v>
                </c:pt>
                <c:pt idx="235">
                  <c:v>-77.169777668129754</c:v>
                </c:pt>
                <c:pt idx="236">
                  <c:v>-76.913672771469919</c:v>
                </c:pt>
                <c:pt idx="237">
                  <c:v>-76.652397197477825</c:v>
                </c:pt>
                <c:pt idx="238">
                  <c:v>-76.38592602347849</c:v>
                </c:pt>
                <c:pt idx="239">
                  <c:v>-76.114238289979426</c:v>
                </c:pt>
                <c:pt idx="240">
                  <c:v>-75.837317322825825</c:v>
                </c:pt>
                <c:pt idx="241">
                  <c:v>-75.555151067238427</c:v>
                </c:pt>
                <c:pt idx="242">
                  <c:v>-75.26773243340017</c:v>
                </c:pt>
                <c:pt idx="243">
                  <c:v>-74.975059653151447</c:v>
                </c:pt>
                <c:pt idx="244">
                  <c:v>-74.677136647240218</c:v>
                </c:pt>
                <c:pt idx="245">
                  <c:v>-74.373973402454709</c:v>
                </c:pt>
                <c:pt idx="246">
                  <c:v>-74.06558635782919</c:v>
                </c:pt>
                <c:pt idx="247">
                  <c:v>-73.75199879897977</c:v>
                </c:pt>
                <c:pt idx="248">
                  <c:v>-73.433241259477725</c:v>
                </c:pt>
                <c:pt idx="249">
                  <c:v>-73.109351928013552</c:v>
                </c:pt>
                <c:pt idx="250">
                  <c:v>-72.78037705994825</c:v>
                </c:pt>
                <c:pt idx="251">
                  <c:v>-72.446371391677033</c:v>
                </c:pt>
                <c:pt idx="252">
                  <c:v>-72.107398556070393</c:v>
                </c:pt>
                <c:pt idx="253">
                  <c:v>-71.763531497076045</c:v>
                </c:pt>
                <c:pt idx="254">
                  <c:v>-71.414852881404414</c:v>
                </c:pt>
                <c:pt idx="255">
                  <c:v>-71.061455505038978</c:v>
                </c:pt>
                <c:pt idx="256">
                  <c:v>-70.703442692157523</c:v>
                </c:pt>
                <c:pt idx="257">
                  <c:v>-70.340928683880279</c:v>
                </c:pt>
                <c:pt idx="258">
                  <c:v>-69.974039014117039</c:v>
                </c:pt>
                <c:pt idx="259">
                  <c:v>-69.602910869642258</c:v>
                </c:pt>
                <c:pt idx="260">
                  <c:v>-69.227693431404361</c:v>
                </c:pt>
                <c:pt idx="261">
                  <c:v>-68.848548193969691</c:v>
                </c:pt>
                <c:pt idx="262">
                  <c:v>-68.465649259917114</c:v>
                </c:pt>
                <c:pt idx="263">
                  <c:v>-68.079183605938425</c:v>
                </c:pt>
                <c:pt idx="264">
                  <c:v>-67.689351317371703</c:v>
                </c:pt>
                <c:pt idx="265">
                  <c:v>-67.296365787890537</c:v>
                </c:pt>
                <c:pt idx="266">
                  <c:v>-66.900453881109499</c:v>
                </c:pt>
                <c:pt idx="267">
                  <c:v>-66.501856050935899</c:v>
                </c:pt>
                <c:pt idx="268">
                  <c:v>-66.100826417609667</c:v>
                </c:pt>
                <c:pt idx="269">
                  <c:v>-65.697632796522512</c:v>
                </c:pt>
                <c:pt idx="270">
                  <c:v>-65.292556677105054</c:v>
                </c:pt>
                <c:pt idx="271">
                  <c:v>-64.885893149301083</c:v>
                </c:pt>
                <c:pt idx="272">
                  <c:v>-64.477950775440007</c:v>
                </c:pt>
                <c:pt idx="273">
                  <c:v>-64.069051405624634</c:v>
                </c:pt>
                <c:pt idx="274">
                  <c:v>-63.659529935128397</c:v>
                </c:pt>
                <c:pt idx="275">
                  <c:v>-63.249734002685088</c:v>
                </c:pt>
                <c:pt idx="276">
                  <c:v>-62.840023628997635</c:v>
                </c:pt>
                <c:pt idx="277">
                  <c:v>-62.430770795247511</c:v>
                </c:pt>
                <c:pt idx="278">
                  <c:v>-62.022358961881331</c:v>
                </c:pt>
                <c:pt idx="279">
                  <c:v>-61.615182528454149</c:v>
                </c:pt>
                <c:pt idx="280">
                  <c:v>-61.209646235830071</c:v>
                </c:pt>
                <c:pt idx="281">
                  <c:v>-60.806164512558581</c:v>
                </c:pt>
                <c:pt idx="282">
                  <c:v>-60.405160767768656</c:v>
                </c:pt>
                <c:pt idx="283">
                  <c:v>-60.007066633425218</c:v>
                </c:pt>
                <c:pt idx="284">
                  <c:v>-59.612321159282878</c:v>
                </c:pt>
                <c:pt idx="285">
                  <c:v>-59.221369964321916</c:v>
                </c:pt>
                <c:pt idx="286">
                  <c:v>-58.834664348882484</c:v>
                </c:pt>
                <c:pt idx="287">
                  <c:v>-58.452660372080167</c:v>
                </c:pt>
                <c:pt idx="288">
                  <c:v>-58.075817899418716</c:v>
                </c:pt>
                <c:pt idx="289">
                  <c:v>-57.704599625780801</c:v>
                </c:pt>
                <c:pt idx="290">
                  <c:v>-57.339470079182959</c:v>
                </c:pt>
                <c:pt idx="291">
                  <c:v>-56.980894610827789</c:v>
                </c:pt>
                <c:pt idx="292">
                  <c:v>-56.629338377045798</c:v>
                </c:pt>
                <c:pt idx="293">
                  <c:v>-56.285265318738979</c:v>
                </c:pt>
                <c:pt idx="294">
                  <c:v>-55.949137143851111</c:v>
                </c:pt>
                <c:pt idx="295">
                  <c:v>-55.621412318271787</c:v>
                </c:pt>
                <c:pt idx="296">
                  <c:v>-55.302545070363522</c:v>
                </c:pt>
                <c:pt idx="297">
                  <c:v>-54.992984414054412</c:v>
                </c:pt>
                <c:pt idx="298">
                  <c:v>-54.693173195110568</c:v>
                </c:pt>
                <c:pt idx="299">
                  <c:v>-54.403547164836063</c:v>
                </c:pt>
                <c:pt idx="300">
                  <c:v>-54.124534085048644</c:v>
                </c:pt>
                <c:pt idx="301">
                  <c:v>-53.856552867720531</c:v>
                </c:pt>
                <c:pt idx="302">
                  <c:v>-53.600012752222909</c:v>
                </c:pt>
                <c:pt idx="303">
                  <c:v>-53.355312522608536</c:v>
                </c:pt>
                <c:pt idx="304">
                  <c:v>-53.122839766891914</c:v>
                </c:pt>
                <c:pt idx="305">
                  <c:v>-52.902970179778841</c:v>
                </c:pt>
                <c:pt idx="306">
                  <c:v>-52.696066909825269</c:v>
                </c:pt>
                <c:pt idx="307">
                  <c:v>-52.502479951531406</c:v>
                </c:pt>
                <c:pt idx="308">
                  <c:v>-52.322545582440341</c:v>
                </c:pt>
                <c:pt idx="309">
                  <c:v>-52.156585844902125</c:v>
                </c:pt>
                <c:pt idx="310">
                  <c:v>-52.00490807178533</c:v>
                </c:pt>
                <c:pt idx="311">
                  <c:v>-51.867804455093129</c:v>
                </c:pt>
                <c:pt idx="312">
                  <c:v>-51.745551656155229</c:v>
                </c:pt>
                <c:pt idx="313">
                  <c:v>-51.638410455827511</c:v>
                </c:pt>
                <c:pt idx="314">
                  <c:v>-51.546625442952624</c:v>
                </c:pt>
                <c:pt idx="315">
                  <c:v>-51.470424739191216</c:v>
                </c:pt>
                <c:pt idx="316">
                  <c:v>-51.410019758267516</c:v>
                </c:pt>
                <c:pt idx="317">
                  <c:v>-51.365604997624764</c:v>
                </c:pt>
                <c:pt idx="318">
                  <c:v>-51.337357860516555</c:v>
                </c:pt>
                <c:pt idx="319">
                  <c:v>-51.325438506624444</c:v>
                </c:pt>
                <c:pt idx="320">
                  <c:v>-51.329989729395599</c:v>
                </c:pt>
                <c:pt idx="321">
                  <c:v>-51.35113685845608</c:v>
                </c:pt>
                <c:pt idx="322">
                  <c:v>-51.388987685619504</c:v>
                </c:pt>
                <c:pt idx="323">
                  <c:v>-51.44363241325766</c:v>
                </c:pt>
                <c:pt idx="324">
                  <c:v>-51.515143624012772</c:v>
                </c:pt>
                <c:pt idx="325">
                  <c:v>-51.603576271115763</c:v>
                </c:pt>
                <c:pt idx="326">
                  <c:v>-51.708967688846379</c:v>
                </c:pt>
                <c:pt idx="327">
                  <c:v>-51.831337622955175</c:v>
                </c:pt>
                <c:pt idx="328">
                  <c:v>-51.970688281175534</c:v>
                </c:pt>
                <c:pt idx="329">
                  <c:v>-52.127004404220081</c:v>
                </c:pt>
                <c:pt idx="330">
                  <c:v>-52.300253357969133</c:v>
                </c:pt>
                <c:pt idx="331">
                  <c:v>-52.490385247795757</c:v>
                </c:pt>
                <c:pt idx="332">
                  <c:v>-52.69733305624424</c:v>
                </c:pt>
                <c:pt idx="333">
                  <c:v>-52.921012805499068</c:v>
                </c:pt>
                <c:pt idx="334">
                  <c:v>-53.161323746264003</c:v>
                </c:pt>
                <c:pt idx="335">
                  <c:v>-53.418148574850726</c:v>
                </c:pt>
                <c:pt idx="336">
                  <c:v>-53.691353680379301</c:v>
                </c:pt>
                <c:pt idx="337">
                  <c:v>-53.980789424083689</c:v>
                </c:pt>
                <c:pt idx="338">
                  <c:v>-54.286290452744083</c:v>
                </c:pt>
                <c:pt idx="339">
                  <c:v>-54.60767604824526</c:v>
                </c:pt>
                <c:pt idx="340">
                  <c:v>-54.944750515207531</c:v>
                </c:pt>
                <c:pt idx="341">
                  <c:v>-55.297303608499007</c:v>
                </c:pt>
                <c:pt idx="342">
                  <c:v>-55.665111002287162</c:v>
                </c:pt>
                <c:pt idx="343">
                  <c:v>-56.047934802049099</c:v>
                </c:pt>
                <c:pt idx="344">
                  <c:v>-56.445524100700439</c:v>
                </c:pt>
                <c:pt idx="345">
                  <c:v>-56.857615579678232</c:v>
                </c:pt>
                <c:pt idx="346">
                  <c:v>-57.283934155453935</c:v>
                </c:pt>
                <c:pt idx="347">
                  <c:v>-57.7241936715535</c:v>
                </c:pt>
                <c:pt idx="348">
                  <c:v>-58.178097635727632</c:v>
                </c:pt>
                <c:pt idx="349">
                  <c:v>-58.645340001455089</c:v>
                </c:pt>
                <c:pt idx="350">
                  <c:v>-59.125605992484125</c:v>
                </c:pt>
                <c:pt idx="351">
                  <c:v>-59.618572968627824</c:v>
                </c:pt>
                <c:pt idx="352">
                  <c:v>-60.123911330529623</c:v>
                </c:pt>
                <c:pt idx="353">
                  <c:v>-60.641285460634393</c:v>
                </c:pt>
                <c:pt idx="354">
                  <c:v>-61.170354697121354</c:v>
                </c:pt>
                <c:pt idx="355">
                  <c:v>-61.710774337100666</c:v>
                </c:pt>
                <c:pt idx="356">
                  <c:v>-62.26219666496857</c:v>
                </c:pt>
                <c:pt idx="357">
                  <c:v>-62.824272001416766</c:v>
                </c:pt>
                <c:pt idx="358">
                  <c:v>-63.39664976827784</c:v>
                </c:pt>
                <c:pt idx="359">
                  <c:v>-63.978979564097031</c:v>
                </c:pt>
                <c:pt idx="360">
                  <c:v>-64.570912245108076</c:v>
                </c:pt>
                <c:pt idx="361">
                  <c:v>-65.172101006131271</c:v>
                </c:pt>
                <c:pt idx="362">
                  <c:v>-65.782202455827488</c:v>
                </c:pt>
                <c:pt idx="363">
                  <c:v>-66.400877680720711</c:v>
                </c:pt>
                <c:pt idx="364">
                  <c:v>-67.027793292458838</c:v>
                </c:pt>
                <c:pt idx="365">
                  <c:v>-67.662622452887263</c:v>
                </c:pt>
                <c:pt idx="366">
                  <c:v>-68.305045871719415</c:v>
                </c:pt>
                <c:pt idx="367">
                  <c:v>-68.954752771817013</c:v>
                </c:pt>
                <c:pt idx="368">
                  <c:v>-69.611441817412967</c:v>
                </c:pt>
                <c:pt idx="369">
                  <c:v>-70.274822000965472</c:v>
                </c:pt>
                <c:pt idx="370">
                  <c:v>-70.944613484741737</c:v>
                </c:pt>
                <c:pt idx="371">
                  <c:v>-71.620548393670802</c:v>
                </c:pt>
                <c:pt idx="372">
                  <c:v>-72.302371556482939</c:v>
                </c:pt>
                <c:pt idx="373">
                  <c:v>-72.989841192647901</c:v>
                </c:pt>
                <c:pt idx="374">
                  <c:v>-73.682729543139956</c:v>
                </c:pt>
                <c:pt idx="375">
                  <c:v>-74.380823443565831</c:v>
                </c:pt>
                <c:pt idx="376">
                  <c:v>-75.083924838716683</c:v>
                </c:pt>
                <c:pt idx="377">
                  <c:v>-75.791851238098417</c:v>
                </c:pt>
                <c:pt idx="378">
                  <c:v>-76.504436112484683</c:v>
                </c:pt>
                <c:pt idx="379">
                  <c:v>-77.221529232002453</c:v>
                </c:pt>
                <c:pt idx="380">
                  <c:v>-77.942996946687018</c:v>
                </c:pt>
                <c:pt idx="381">
                  <c:v>-78.668722410843557</c:v>
                </c:pt>
                <c:pt idx="382">
                  <c:v>-79.398605752914307</c:v>
                </c:pt>
                <c:pt idx="383">
                  <c:v>-80.132564192867264</c:v>
                </c:pt>
                <c:pt idx="384">
                  <c:v>-80.870532109398539</c:v>
                </c:pt>
                <c:pt idx="385">
                  <c:v>-81.612461059469993</c:v>
                </c:pt>
                <c:pt idx="386">
                  <c:v>-82.358319752889258</c:v>
                </c:pt>
                <c:pt idx="387">
                  <c:v>-83.108093984782755</c:v>
                </c:pt>
                <c:pt idx="388">
                  <c:v>-83.861786528901973</c:v>
                </c:pt>
                <c:pt idx="389">
                  <c:v>-84.619416994763071</c:v>
                </c:pt>
                <c:pt idx="390">
                  <c:v>-85.381021651624906</c:v>
                </c:pt>
                <c:pt idx="391">
                  <c:v>-86.146653222292784</c:v>
                </c:pt>
                <c:pt idx="392">
                  <c:v>-86.916380649663679</c:v>
                </c:pt>
                <c:pt idx="393">
                  <c:v>-87.690288838837049</c:v>
                </c:pt>
                <c:pt idx="394">
                  <c:v>-88.468478377489618</c:v>
                </c:pt>
                <c:pt idx="395">
                  <c:v>-89.251065237052956</c:v>
                </c:pt>
                <c:pt idx="396">
                  <c:v>-90.038180457057294</c:v>
                </c:pt>
                <c:pt idx="397">
                  <c:v>-90.82996981480008</c:v>
                </c:pt>
                <c:pt idx="398">
                  <c:v>-91.626593482278139</c:v>
                </c:pt>
                <c:pt idx="399">
                  <c:v>-92.428225672081624</c:v>
                </c:pt>
                <c:pt idx="400">
                  <c:v>-93.235054273694118</c:v>
                </c:pt>
                <c:pt idx="401">
                  <c:v>-94.047280481372923</c:v>
                </c:pt>
                <c:pt idx="402">
                  <c:v>-94.865118414511045</c:v>
                </c:pt>
                <c:pt idx="403">
                  <c:v>-95.688794731082695</c:v>
                </c:pt>
                <c:pt idx="404">
                  <c:v>-96.518548234484371</c:v>
                </c:pt>
                <c:pt idx="405">
                  <c:v>-97.354629473770174</c:v>
                </c:pt>
                <c:pt idx="406">
                  <c:v>-98.197300336969619</c:v>
                </c:pt>
                <c:pt idx="407">
                  <c:v>-99.046833636848334</c:v>
                </c:pt>
                <c:pt idx="408">
                  <c:v>-99.903512688153043</c:v>
                </c:pt>
                <c:pt idx="409">
                  <c:v>-100.76763087503592</c:v>
                </c:pt>
                <c:pt idx="410">
                  <c:v>-101.63949120701983</c:v>
                </c:pt>
                <c:pt idx="411">
                  <c:v>-102.51940586151406</c:v>
                </c:pt>
                <c:pt idx="412">
                  <c:v>-103.40769571053849</c:v>
                </c:pt>
                <c:pt idx="413">
                  <c:v>-104.3046898289507</c:v>
                </c:pt>
                <c:pt idx="414">
                  <c:v>-105.21072498110884</c:v>
                </c:pt>
                <c:pt idx="415">
                  <c:v>-106.12614508253188</c:v>
                </c:pt>
                <c:pt idx="416">
                  <c:v>-107.05130063274518</c:v>
                </c:pt>
                <c:pt idx="417">
                  <c:v>-107.9865481151261</c:v>
                </c:pt>
                <c:pt idx="418">
                  <c:v>-108.93224935918755</c:v>
                </c:pt>
                <c:pt idx="419">
                  <c:v>-109.88877086037203</c:v>
                </c:pt>
                <c:pt idx="420">
                  <c:v>-110.85648305206198</c:v>
                </c:pt>
                <c:pt idx="421">
                  <c:v>-111.83575952416568</c:v>
                </c:pt>
                <c:pt idx="422">
                  <c:v>-112.82697618230247</c:v>
                </c:pt>
                <c:pt idx="423">
                  <c:v>-113.83051034131951</c:v>
                </c:pt>
                <c:pt idx="424">
                  <c:v>-114.84673974658581</c:v>
                </c:pt>
                <c:pt idx="425">
                  <c:v>-115.87604151630897</c:v>
                </c:pt>
                <c:pt idx="426">
                  <c:v>-116.91879099794511</c:v>
                </c:pt>
                <c:pt idx="427">
                  <c:v>-117.97536053168578</c:v>
                </c:pt>
                <c:pt idx="428">
                  <c:v>-119.04611811402017</c:v>
                </c:pt>
                <c:pt idx="429">
                  <c:v>-120.13142595448072</c:v>
                </c:pt>
                <c:pt idx="430">
                  <c:v>-121.23163891891619</c:v>
                </c:pt>
                <c:pt idx="431">
                  <c:v>-122.34710285306012</c:v>
                </c:pt>
                <c:pt idx="432">
                  <c:v>-123.47815278071916</c:v>
                </c:pt>
                <c:pt idx="433">
                  <c:v>-124.62511097171786</c:v>
                </c:pt>
                <c:pt idx="434">
                  <c:v>-125.78828487573762</c:v>
                </c:pt>
                <c:pt idx="435">
                  <c:v>-126.96796491948882</c:v>
                </c:pt>
                <c:pt idx="436">
                  <c:v>-128.16442216622639</c:v>
                </c:pt>
                <c:pt idx="437">
                  <c:v>-129.37790583850619</c:v>
                </c:pt>
                <c:pt idx="438">
                  <c:v>-130.60864070732092</c:v>
                </c:pt>
                <c:pt idx="439">
                  <c:v>-131.85682435333368</c:v>
                </c:pt>
                <c:pt idx="440">
                  <c:v>-133.12262430888586</c:v>
                </c:pt>
                <c:pt idx="441">
                  <c:v>-134.40617509279258</c:v>
                </c:pt>
                <c:pt idx="442">
                  <c:v>-135.70757515360452</c:v>
                </c:pt>
                <c:pt idx="443">
                  <c:v>-137.02688374106268</c:v>
                </c:pt>
                <c:pt idx="444">
                  <c:v>-138.36411772977527</c:v>
                </c:pt>
                <c:pt idx="445">
                  <c:v>-139.71924842370791</c:v>
                </c:pt>
                <c:pt idx="446">
                  <c:v>-141.09219837478997</c:v>
                </c:pt>
                <c:pt idx="447">
                  <c:v>-142.48283825369435</c:v>
                </c:pt>
                <c:pt idx="448">
                  <c:v>-143.89098381552833</c:v>
                </c:pt>
                <c:pt idx="449">
                  <c:v>-145.31639300761972</c:v>
                </c:pt>
                <c:pt idx="450">
                  <c:v>-146.75876327061502</c:v>
                </c:pt>
                <c:pt idx="451">
                  <c:v>-148.21772908753283</c:v>
                </c:pt>
                <c:pt idx="452">
                  <c:v>-149.69285983803158</c:v>
                </c:pt>
                <c:pt idx="453">
                  <c:v>-151.18365801673292</c:v>
                </c:pt>
                <c:pt idx="454">
                  <c:v>-152.6895578747604</c:v>
                </c:pt>
                <c:pt idx="455">
                  <c:v>-154.20992454255108</c:v>
                </c:pt>
                <c:pt idx="456">
                  <c:v>-155.74405368922598</c:v>
                </c:pt>
                <c:pt idx="457">
                  <c:v>-157.29117176931558</c:v>
                </c:pt>
                <c:pt idx="458">
                  <c:v>-158.85043690124417</c:v>
                </c:pt>
                <c:pt idx="459">
                  <c:v>-160.42094041375773</c:v>
                </c:pt>
                <c:pt idx="460">
                  <c:v>-162.00170908642289</c:v>
                </c:pt>
                <c:pt idx="461">
                  <c:v>-163.59170809860854</c:v>
                </c:pt>
                <c:pt idx="462">
                  <c:v>-165.18984468821733</c:v>
                </c:pt>
                <c:pt idx="463">
                  <c:v>-166.79497250716963</c:v>
                </c:pt>
                <c:pt idx="464">
                  <c:v>-168.40589664568213</c:v>
                </c:pt>
                <c:pt idx="465">
                  <c:v>-170.0213792821805</c:v>
                </c:pt>
                <c:pt idx="466">
                  <c:v>-171.64014590079509</c:v>
                </c:pt>
                <c:pt idx="467">
                  <c:v>-173.26089200430118</c:v>
                </c:pt>
                <c:pt idx="468">
                  <c:v>-174.88229023770569</c:v>
                </c:pt>
                <c:pt idx="469">
                  <c:v>-176.50299782688901</c:v>
                </c:pt>
                <c:pt idx="470">
                  <c:v>-178.1216642282829</c:v>
                </c:pt>
                <c:pt idx="471">
                  <c:v>-179.73693887984709</c:v>
                </c:pt>
                <c:pt idx="472">
                  <c:v>178.65252105916122</c:v>
                </c:pt>
                <c:pt idx="473">
                  <c:v>177.04804309179207</c:v>
                </c:pt>
                <c:pt idx="474">
                  <c:v>175.45093199917264</c:v>
                </c:pt>
                <c:pt idx="475">
                  <c:v>173.86246279091861</c:v>
                </c:pt>
                <c:pt idx="476">
                  <c:v>172.28387408369986</c:v>
                </c:pt>
                <c:pt idx="477">
                  <c:v>170.71636199026565</c:v>
                </c:pt>
                <c:pt idx="478">
                  <c:v>169.16107458821068</c:v>
                </c:pt>
                <c:pt idx="479">
                  <c:v>167.61910702347197</c:v>
                </c:pt>
                <c:pt idx="480">
                  <c:v>166.09149728853311</c:v>
                </c:pt>
                <c:pt idx="481">
                  <c:v>164.57922270011312</c:v>
                </c:pt>
                <c:pt idx="482">
                  <c:v>163.08319708624751</c:v>
                </c:pt>
                <c:pt idx="483">
                  <c:v>161.60426867861074</c:v>
                </c:pt>
                <c:pt idx="484">
                  <c:v>160.14321869303143</c:v>
                </c:pt>
                <c:pt idx="485">
                  <c:v>158.70076056976467</c:v>
                </c:pt>
                <c:pt idx="486">
                  <c:v>157.27753983538324</c:v>
                </c:pt>
                <c:pt idx="487">
                  <c:v>155.87413454029038</c:v>
                </c:pt>
                <c:pt idx="488">
                  <c:v>154.49105621987084</c:v>
                </c:pt>
                <c:pt idx="489">
                  <c:v>153.12875132312985</c:v>
                </c:pt>
                <c:pt idx="490">
                  <c:v>151.78760305027592</c:v>
                </c:pt>
                <c:pt idx="491">
                  <c:v>150.46793353987371</c:v>
                </c:pt>
                <c:pt idx="492">
                  <c:v>149.17000634679542</c:v>
                </c:pt>
                <c:pt idx="493">
                  <c:v>147.89402915399279</c:v>
                </c:pt>
                <c:pt idx="494">
                  <c:v>146.64015666390711</c:v>
                </c:pt>
                <c:pt idx="495">
                  <c:v>145.40849361888164</c:v>
                </c:pt>
                <c:pt idx="496">
                  <c:v>144.19909790407888</c:v>
                </c:pt>
                <c:pt idx="497">
                  <c:v>143.01198369088314</c:v>
                </c:pt>
                <c:pt idx="498">
                  <c:v>141.84712458347855</c:v>
                </c:pt>
                <c:pt idx="499">
                  <c:v>140.70445673603422</c:v>
                </c:pt>
                <c:pt idx="500">
                  <c:v>139.58388191259431</c:v>
                </c:pt>
                <c:pt idx="501">
                  <c:v>138.48527046628698</c:v>
                </c:pt>
                <c:pt idx="502">
                  <c:v>137.40846421870489</c:v>
                </c:pt>
                <c:pt idx="503">
                  <c:v>136.35327922426018</c:v>
                </c:pt>
                <c:pt idx="504">
                  <c:v>135.3195084079224</c:v>
                </c:pt>
                <c:pt idx="505">
                  <c:v>134.30692406797712</c:v>
                </c:pt>
                <c:pt idx="506">
                  <c:v>133.3152802383286</c:v>
                </c:pt>
                <c:pt idx="507">
                  <c:v>132.34431490735813</c:v>
                </c:pt>
                <c:pt idx="508">
                  <c:v>131.39375209250861</c:v>
                </c:pt>
                <c:pt idx="509">
                  <c:v>130.46330377158137</c:v>
                </c:pt>
                <c:pt idx="510">
                  <c:v>129.55267167323956</c:v>
                </c:pt>
                <c:pt idx="511">
                  <c:v>128.66154893042892</c:v>
                </c:pt>
                <c:pt idx="512">
                  <c:v>127.78962160140716</c:v>
                </c:pt>
                <c:pt idx="513">
                  <c:v>126.93657006380016</c:v>
                </c:pt>
                <c:pt idx="514">
                  <c:v>126.10207028765628</c:v>
                </c:pt>
                <c:pt idx="515">
                  <c:v>125.28579499383387</c:v>
                </c:pt>
                <c:pt idx="516">
                  <c:v>124.48741470427953</c:v>
                </c:pt>
                <c:pt idx="517">
                  <c:v>123.7065986908555</c:v>
                </c:pt>
                <c:pt idx="518">
                  <c:v>122.94301582936679</c:v>
                </c:pt>
                <c:pt idx="519">
                  <c:v>122.19633536535201</c:v>
                </c:pt>
                <c:pt idx="520">
                  <c:v>121.46622759804498</c:v>
                </c:pt>
                <c:pt idx="521">
                  <c:v>120.75236448870635</c:v>
                </c:pt>
                <c:pt idx="522">
                  <c:v>120.05442019927868</c:v>
                </c:pt>
                <c:pt idx="523">
                  <c:v>119.37207156704028</c:v>
                </c:pt>
                <c:pt idx="524">
                  <c:v>118.70499852063539</c:v>
                </c:pt>
                <c:pt idx="525">
                  <c:v>118.05288444256104</c:v>
                </c:pt>
                <c:pt idx="526">
                  <c:v>117.41541648286685</c:v>
                </c:pt>
                <c:pt idx="527">
                  <c:v>116.79228582852197</c:v>
                </c:pt>
                <c:pt idx="528">
                  <c:v>116.18318793259411</c:v>
                </c:pt>
                <c:pt idx="529">
                  <c:v>115.58782270707606</c:v>
                </c:pt>
                <c:pt idx="530">
                  <c:v>115.00589468293195</c:v>
                </c:pt>
                <c:pt idx="531">
                  <c:v>114.43711314062077</c:v>
                </c:pt>
                <c:pt idx="532">
                  <c:v>113.88119221413055</c:v>
                </c:pt>
                <c:pt idx="533">
                  <c:v>113.3378509712707</c:v>
                </c:pt>
                <c:pt idx="534">
                  <c:v>112.80681347276561</c:v>
                </c:pt>
                <c:pt idx="535">
                  <c:v>112.28780881245147</c:v>
                </c:pt>
                <c:pt idx="536">
                  <c:v>111.78057114068319</c:v>
                </c:pt>
                <c:pt idx="537">
                  <c:v>111.28483967286174</c:v>
                </c:pt>
                <c:pt idx="538">
                  <c:v>110.80035868482153</c:v>
                </c:pt>
                <c:pt idx="539">
                  <c:v>110.32687749664849</c:v>
                </c:pt>
                <c:pt idx="540">
                  <c:v>109.86415044635042</c:v>
                </c:pt>
                <c:pt idx="541">
                  <c:v>109.41193685466462</c:v>
                </c:pt>
              </c:numCache>
            </c:numRef>
          </c:yVal>
          <c:smooth val="1"/>
          <c:extLst>
            <c:ext xmlns:c16="http://schemas.microsoft.com/office/drawing/2014/chart" uri="{C3380CC4-5D6E-409C-BE32-E72D297353CC}">
              <c16:uniqueId val="{00000001-69E5-488F-8178-EA81D5C894E7}"/>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44.62703884132133</c:v>
                </c:pt>
                <c:pt idx="1">
                  <c:v>44.427130921281758</c:v>
                </c:pt>
                <c:pt idx="2">
                  <c:v>44.227227338743731</c:v>
                </c:pt>
                <c:pt idx="3">
                  <c:v>44.027328297925436</c:v>
                </c:pt>
                <c:pt idx="4">
                  <c:v>43.827434012650379</c:v>
                </c:pt>
                <c:pt idx="5">
                  <c:v>43.627544706797707</c:v>
                </c:pt>
                <c:pt idx="6">
                  <c:v>43.427660614774304</c:v>
                </c:pt>
                <c:pt idx="7">
                  <c:v>43.227781982008658</c:v>
                </c:pt>
                <c:pt idx="8">
                  <c:v>43.027909065467902</c:v>
                </c:pt>
                <c:pt idx="9">
                  <c:v>42.828042134198782</c:v>
                </c:pt>
                <c:pt idx="10">
                  <c:v>42.628181469894031</c:v>
                </c:pt>
                <c:pt idx="11">
                  <c:v>42.428327367485039</c:v>
                </c:pt>
                <c:pt idx="12">
                  <c:v>42.22848013576251</c:v>
                </c:pt>
                <c:pt idx="13">
                  <c:v>42.028640098025257</c:v>
                </c:pt>
                <c:pt idx="14">
                  <c:v>41.828807592759844</c:v>
                </c:pt>
                <c:pt idx="15">
                  <c:v>41.628982974351779</c:v>
                </c:pt>
                <c:pt idx="16">
                  <c:v>41.429166613829722</c:v>
                </c:pt>
                <c:pt idx="17">
                  <c:v>41.229358899643749</c:v>
                </c:pt>
                <c:pt idx="18">
                  <c:v>41.029560238480869</c:v>
                </c:pt>
                <c:pt idx="19">
                  <c:v>40.829771056116975</c:v>
                </c:pt>
                <c:pt idx="20">
                  <c:v>40.629991798309831</c:v>
                </c:pt>
                <c:pt idx="21">
                  <c:v>40.430222931731748</c:v>
                </c:pt>
                <c:pt idx="22">
                  <c:v>40.230464944947222</c:v>
                </c:pt>
                <c:pt idx="23">
                  <c:v>40.030718349434224</c:v>
                </c:pt>
                <c:pt idx="24">
                  <c:v>39.830983680653581</c:v>
                </c:pt>
                <c:pt idx="25">
                  <c:v>39.631261499167628</c:v>
                </c:pt>
                <c:pt idx="26">
                  <c:v>39.431552391809987</c:v>
                </c:pt>
                <c:pt idx="27">
                  <c:v>39.231856972909796</c:v>
                </c:pt>
                <c:pt idx="28">
                  <c:v>39.032175885571803</c:v>
                </c:pt>
                <c:pt idx="29">
                  <c:v>38.832509803015938</c:v>
                </c:pt>
                <c:pt idx="30">
                  <c:v>38.632859429977529</c:v>
                </c:pt>
                <c:pt idx="31">
                  <c:v>38.433225504172491</c:v>
                </c:pt>
                <c:pt idx="32">
                  <c:v>38.233608797829071</c:v>
                </c:pt>
                <c:pt idx="33">
                  <c:v>38.034010119290144</c:v>
                </c:pt>
                <c:pt idx="34">
                  <c:v>37.834430314688056</c:v>
                </c:pt>
                <c:pt idx="35">
                  <c:v>37.634870269696485</c:v>
                </c:pt>
                <c:pt idx="36">
                  <c:v>37.435330911361497</c:v>
                </c:pt>
                <c:pt idx="37">
                  <c:v>37.235813210016254</c:v>
                </c:pt>
                <c:pt idx="38">
                  <c:v>37.03631818128207</c:v>
                </c:pt>
                <c:pt idx="39">
                  <c:v>36.836846888160736</c:v>
                </c:pt>
                <c:pt idx="40">
                  <c:v>36.637400443220727</c:v>
                </c:pt>
                <c:pt idx="41">
                  <c:v>36.437980010882455</c:v>
                </c:pt>
                <c:pt idx="42">
                  <c:v>36.238586809806222</c:v>
                </c:pt>
                <c:pt idx="43">
                  <c:v>36.039222115387204</c:v>
                </c:pt>
                <c:pt idx="44">
                  <c:v>35.83988726236263</c:v>
                </c:pt>
                <c:pt idx="45">
                  <c:v>35.640583647534967</c:v>
                </c:pt>
                <c:pt idx="46">
                  <c:v>35.441312732616652</c:v>
                </c:pt>
                <c:pt idx="47">
                  <c:v>35.242076047201472</c:v>
                </c:pt>
                <c:pt idx="48">
                  <c:v>35.042875191867012</c:v>
                </c:pt>
                <c:pt idx="49">
                  <c:v>34.84371184141493</c:v>
                </c:pt>
                <c:pt idx="50">
                  <c:v>34.64458774825308</c:v>
                </c:pt>
                <c:pt idx="51">
                  <c:v>34.445504745926847</c:v>
                </c:pt>
                <c:pt idx="52">
                  <c:v>34.246464752804116</c:v>
                </c:pt>
                <c:pt idx="53">
                  <c:v>34.047469775921371</c:v>
                </c:pt>
                <c:pt idx="54">
                  <c:v>33.848521914996276</c:v>
                </c:pt>
                <c:pt idx="55">
                  <c:v>33.649623366613866</c:v>
                </c:pt>
                <c:pt idx="56">
                  <c:v>33.450776428592704</c:v>
                </c:pt>
                <c:pt idx="57">
                  <c:v>33.251983504537776</c:v>
                </c:pt>
                <c:pt idx="58">
                  <c:v>33.053247108587755</c:v>
                </c:pt>
                <c:pt idx="59">
                  <c:v>32.854569870363058</c:v>
                </c:pt>
                <c:pt idx="60">
                  <c:v>32.655954540122906</c:v>
                </c:pt>
                <c:pt idx="61">
                  <c:v>32.457403994137998</c:v>
                </c:pt>
                <c:pt idx="62">
                  <c:v>32.258921240287378</c:v>
                </c:pt>
                <c:pt idx="63">
                  <c:v>32.060509423886543</c:v>
                </c:pt>
                <c:pt idx="64">
                  <c:v>31.862171833755681</c:v>
                </c:pt>
                <c:pt idx="65">
                  <c:v>31.663911908534441</c:v>
                </c:pt>
                <c:pt idx="66">
                  <c:v>31.465733243253684</c:v>
                </c:pt>
                <c:pt idx="67">
                  <c:v>31.267639596169801</c:v>
                </c:pt>
                <c:pt idx="68">
                  <c:v>31.069634895872227</c:v>
                </c:pt>
                <c:pt idx="69">
                  <c:v>30.871723248670605</c:v>
                </c:pt>
                <c:pt idx="70">
                  <c:v>30.673908946270494</c:v>
                </c:pt>
                <c:pt idx="71">
                  <c:v>30.476196473746285</c:v>
                </c:pt>
                <c:pt idx="72">
                  <c:v>30.278590517818319</c:v>
                </c:pt>
                <c:pt idx="73">
                  <c:v>30.081095975442938</c:v>
                </c:pt>
                <c:pt idx="74">
                  <c:v>29.883717962722859</c:v>
                </c:pt>
                <c:pt idx="75">
                  <c:v>29.686461824145262</c:v>
                </c:pt>
                <c:pt idx="76">
                  <c:v>29.489333142155488</c:v>
                </c:pt>
                <c:pt idx="77">
                  <c:v>29.292337747071812</c:v>
                </c:pt>
                <c:pt idx="78">
                  <c:v>29.09548172734889</c:v>
                </c:pt>
                <c:pt idx="79">
                  <c:v>28.898771440195144</c:v>
                </c:pt>
                <c:pt idx="80">
                  <c:v>28.702213522549197</c:v>
                </c:pt>
                <c:pt idx="81">
                  <c:v>28.505814902420333</c:v>
                </c:pt>
                <c:pt idx="82">
                  <c:v>28.309582810595625</c:v>
                </c:pt>
                <c:pt idx="83">
                  <c:v>28.11352479271768</c:v>
                </c:pt>
                <c:pt idx="84">
                  <c:v>27.917648721733791</c:v>
                </c:pt>
                <c:pt idx="85">
                  <c:v>27.721962810717255</c:v>
                </c:pt>
                <c:pt idx="86">
                  <c:v>27.526475626059487</c:v>
                </c:pt>
                <c:pt idx="87">
                  <c:v>27.331196101031232</c:v>
                </c:pt>
                <c:pt idx="88">
                  <c:v>27.136133549707839</c:v>
                </c:pt>
                <c:pt idx="89">
                  <c:v>26.941297681253637</c:v>
                </c:pt>
                <c:pt idx="90">
                  <c:v>26.746698614555875</c:v>
                </c:pt>
                <c:pt idx="91">
                  <c:v>26.552346893199296</c:v>
                </c:pt>
                <c:pt idx="92">
                  <c:v>26.358253500767795</c:v>
                </c:pt>
                <c:pt idx="93">
                  <c:v>26.164429876456946</c:v>
                </c:pt>
                <c:pt idx="94">
                  <c:v>25.970887930979998</c:v>
                </c:pt>
                <c:pt idx="95">
                  <c:v>25.777640062744567</c:v>
                </c:pt>
                <c:pt idx="96">
                  <c:v>25.584699174274444</c:v>
                </c:pt>
                <c:pt idx="97">
                  <c:v>25.392078688848052</c:v>
                </c:pt>
                <c:pt idx="98">
                  <c:v>25.199792567319221</c:v>
                </c:pt>
                <c:pt idx="99">
                  <c:v>25.007855325082936</c:v>
                </c:pt>
                <c:pt idx="100">
                  <c:v>24.816282049143187</c:v>
                </c:pt>
                <c:pt idx="101">
                  <c:v>24.625088415235243</c:v>
                </c:pt>
                <c:pt idx="102">
                  <c:v>24.434290704949092</c:v>
                </c:pt>
                <c:pt idx="103">
                  <c:v>24.243905822794542</c:v>
                </c:pt>
                <c:pt idx="104">
                  <c:v>24.053951313144225</c:v>
                </c:pt>
                <c:pt idx="105">
                  <c:v>23.864445376981021</c:v>
                </c:pt>
                <c:pt idx="106">
                  <c:v>23.675406888372869</c:v>
                </c:pt>
                <c:pt idx="107">
                  <c:v>23.486855410589005</c:v>
                </c:pt>
                <c:pt idx="108">
                  <c:v>23.298811211765063</c:v>
                </c:pt>
                <c:pt idx="109">
                  <c:v>23.111295280015064</c:v>
                </c:pt>
                <c:pt idx="110">
                  <c:v>22.924329337883776</c:v>
                </c:pt>
                <c:pt idx="111">
                  <c:v>22.737935856021334</c:v>
                </c:pt>
                <c:pt idx="112">
                  <c:v>22.552138065955319</c:v>
                </c:pt>
                <c:pt idx="113">
                  <c:v>22.366959971827374</c:v>
                </c:pt>
                <c:pt idx="114">
                  <c:v>22.182426360952334</c:v>
                </c:pt>
                <c:pt idx="115">
                  <c:v>21.998562813048459</c:v>
                </c:pt>
                <c:pt idx="116">
                  <c:v>21.815395707983072</c:v>
                </c:pt>
                <c:pt idx="117">
                  <c:v>21.632952231863371</c:v>
                </c:pt>
                <c:pt idx="118">
                  <c:v>21.451260381300848</c:v>
                </c:pt>
                <c:pt idx="119">
                  <c:v>21.270348965666468</c:v>
                </c:pt>
                <c:pt idx="120">
                  <c:v>21.090247607148584</c:v>
                </c:pt>
                <c:pt idx="121">
                  <c:v>20.910986738419389</c:v>
                </c:pt>
                <c:pt idx="122">
                  <c:v>20.732597597710487</c:v>
                </c:pt>
                <c:pt idx="123">
                  <c:v>20.555112221095406</c:v>
                </c:pt>
                <c:pt idx="124">
                  <c:v>20.378563431771521</c:v>
                </c:pt>
                <c:pt idx="125">
                  <c:v>20.202984826136582</c:v>
                </c:pt>
                <c:pt idx="126">
                  <c:v>20.028410756451617</c:v>
                </c:pt>
                <c:pt idx="127">
                  <c:v>19.85487630988731</c:v>
                </c:pt>
                <c:pt idx="128">
                  <c:v>19.682417283754045</c:v>
                </c:pt>
                <c:pt idx="129">
                  <c:v>19.511070156722777</c:v>
                </c:pt>
                <c:pt idx="130">
                  <c:v>19.340872055853552</c:v>
                </c:pt>
                <c:pt idx="131">
                  <c:v>19.171860719260572</c:v>
                </c:pt>
                <c:pt idx="132">
                  <c:v>19.004074454256713</c:v>
                </c:pt>
                <c:pt idx="133">
                  <c:v>18.837552090840948</c:v>
                </c:pt>
                <c:pt idx="134">
                  <c:v>18.672332930409475</c:v>
                </c:pt>
                <c:pt idx="135">
                  <c:v>18.50845668960039</c:v>
                </c:pt>
                <c:pt idx="136">
                  <c:v>18.345963439206184</c:v>
                </c:pt>
                <c:pt idx="137">
                  <c:v>18.184893538121948</c:v>
                </c:pt>
                <c:pt idx="138">
                  <c:v>18.025287562330867</c:v>
                </c:pt>
                <c:pt idx="139">
                  <c:v>17.867186228967856</c:v>
                </c:pt>
                <c:pt idx="140">
                  <c:v>17.710630315541991</c:v>
                </c:pt>
                <c:pt idx="141">
                  <c:v>17.55566057444447</c:v>
                </c:pt>
                <c:pt idx="142">
                  <c:v>17.402317642914426</c:v>
                </c:pt>
                <c:pt idx="143">
                  <c:v>17.250641948684734</c:v>
                </c:pt>
                <c:pt idx="144">
                  <c:v>17.100673611580742</c:v>
                </c:pt>
                <c:pt idx="145">
                  <c:v>16.95245234139766</c:v>
                </c:pt>
                <c:pt idx="146">
                  <c:v>16.806017332434799</c:v>
                </c:pt>
                <c:pt idx="147">
                  <c:v>16.661407155117665</c:v>
                </c:pt>
                <c:pt idx="148">
                  <c:v>16.518659645192074</c:v>
                </c:pt>
                <c:pt idx="149">
                  <c:v>16.377811791023753</c:v>
                </c:pt>
                <c:pt idx="150">
                  <c:v>16.238899619586245</c:v>
                </c:pt>
                <c:pt idx="151">
                  <c:v>16.101958081763254</c:v>
                </c:pt>
                <c:pt idx="152">
                  <c:v>15.967020937633897</c:v>
                </c:pt>
                <c:pt idx="153">
                  <c:v>15.834120642442866</c:v>
                </c:pt>
                <c:pt idx="154">
                  <c:v>15.703288233988053</c:v>
                </c:pt>
                <c:pt idx="155">
                  <c:v>15.574553222179958</c:v>
                </c:pt>
                <c:pt idx="156">
                  <c:v>15.447943481542399</c:v>
                </c:pt>
                <c:pt idx="157">
                  <c:v>15.323485147430155</c:v>
                </c:pt>
                <c:pt idx="158">
                  <c:v>15.201202516737451</c:v>
                </c:pt>
                <c:pt idx="159">
                  <c:v>15.081117953858653</c:v>
                </c:pt>
                <c:pt idx="160">
                  <c:v>14.963251802642649</c:v>
                </c:pt>
                <c:pt idx="161">
                  <c:v>14.847622305050772</c:v>
                </c:pt>
                <c:pt idx="162">
                  <c:v>14.734245527187804</c:v>
                </c:pt>
                <c:pt idx="163">
                  <c:v>14.623135293327664</c:v>
                </c:pt>
                <c:pt idx="164">
                  <c:v>14.514303128494987</c:v>
                </c:pt>
                <c:pt idx="165">
                  <c:v>14.407758210098947</c:v>
                </c:pt>
                <c:pt idx="166">
                  <c:v>14.303507329041965</c:v>
                </c:pt>
                <c:pt idx="167">
                  <c:v>14.201554860645238</c:v>
                </c:pt>
                <c:pt idx="168">
                  <c:v>14.101902745648738</c:v>
                </c:pt>
                <c:pt idx="169">
                  <c:v>14.004550481453833</c:v>
                </c:pt>
                <c:pt idx="170">
                  <c:v>13.9094951236852</c:v>
                </c:pt>
                <c:pt idx="171">
                  <c:v>13.816731298055808</c:v>
                </c:pt>
                <c:pt idx="172">
                  <c:v>13.72625122242653</c:v>
                </c:pt>
                <c:pt idx="173">
                  <c:v>13.63804473886076</c:v>
                </c:pt>
                <c:pt idx="174">
                  <c:v>13.552099355385934</c:v>
                </c:pt>
                <c:pt idx="175">
                  <c:v>13.468400297092165</c:v>
                </c:pt>
                <c:pt idx="176">
                  <c:v>13.386930566118199</c:v>
                </c:pt>
                <c:pt idx="177">
                  <c:v>13.307671010005123</c:v>
                </c:pt>
                <c:pt idx="178">
                  <c:v>13.230600397833578</c:v>
                </c:pt>
                <c:pt idx="179">
                  <c:v>13.15569550350552</c:v>
                </c:pt>
                <c:pt idx="180">
                  <c:v>13.082931195485838</c:v>
                </c:pt>
                <c:pt idx="181">
                  <c:v>13.012280532279831</c:v>
                </c:pt>
                <c:pt idx="182">
                  <c:v>12.94371486289764</c:v>
                </c:pt>
                <c:pt idx="183">
                  <c:v>12.877203931537755</c:v>
                </c:pt>
                <c:pt idx="184">
                  <c:v>12.812715985713067</c:v>
                </c:pt>
                <c:pt idx="185">
                  <c:v>12.750217887043425</c:v>
                </c:pt>
                <c:pt idx="186">
                  <c:v>12.689675223949834</c:v>
                </c:pt>
                <c:pt idx="187">
                  <c:v>12.631052425500311</c:v>
                </c:pt>
                <c:pt idx="188">
                  <c:v>12.5743128756835</c:v>
                </c:pt>
                <c:pt idx="189">
                  <c:v>12.519419027418712</c:v>
                </c:pt>
                <c:pt idx="190">
                  <c:v>12.466332515645252</c:v>
                </c:pt>
                <c:pt idx="191">
                  <c:v>12.415014268879279</c:v>
                </c:pt>
                <c:pt idx="192">
                  <c:v>12.36542461866973</c:v>
                </c:pt>
                <c:pt idx="193">
                  <c:v>12.317523406435111</c:v>
                </c:pt>
                <c:pt idx="194">
                  <c:v>12.271270087214782</c:v>
                </c:pt>
                <c:pt idx="195">
                  <c:v>12.226623829918458</c:v>
                </c:pt>
                <c:pt idx="196">
                  <c:v>12.183543613713535</c:v>
                </c:pt>
                <c:pt idx="197">
                  <c:v>12.14198832024065</c:v>
                </c:pt>
                <c:pt idx="198">
                  <c:v>12.101916821400746</c:v>
                </c:pt>
                <c:pt idx="199">
                  <c:v>12.063288062506563</c:v>
                </c:pt>
                <c:pt idx="200">
                  <c:v>12.026061140640751</c:v>
                </c:pt>
                <c:pt idx="201">
                  <c:v>11.990195378108536</c:v>
                </c:pt>
                <c:pt idx="202">
                  <c:v>11.95565039091572</c:v>
                </c:pt>
                <c:pt idx="203">
                  <c:v>11.922386152243158</c:v>
                </c:pt>
                <c:pt idx="204">
                  <c:v>11.890363050927473</c:v>
                </c:pt>
                <c:pt idx="205">
                  <c:v>11.859541944987422</c:v>
                </c:pt>
                <c:pt idx="206">
                  <c:v>11.829884210270832</c:v>
                </c:pt>
                <c:pt idx="207">
                  <c:v>11.801351784319351</c:v>
                </c:pt>
                <c:pt idx="208">
                  <c:v>11.773907205574226</c:v>
                </c:pt>
                <c:pt idx="209">
                  <c:v>11.747513648064851</c:v>
                </c:pt>
                <c:pt idx="210">
                  <c:v>11.722134951740257</c:v>
                </c:pt>
                <c:pt idx="211">
                  <c:v>11.697735648616788</c:v>
                </c:pt>
                <c:pt idx="212">
                  <c:v>11.674280984925486</c:v>
                </c:pt>
                <c:pt idx="213">
                  <c:v>11.65173693945254</c:v>
                </c:pt>
                <c:pt idx="214">
                  <c:v>11.630070238271719</c:v>
                </c:pt>
                <c:pt idx="215">
                  <c:v>11.609248366069711</c:v>
                </c:pt>
                <c:pt idx="216">
                  <c:v>11.589239574270065</c:v>
                </c:pt>
                <c:pt idx="217">
                  <c:v>11.570012886157606</c:v>
                </c:pt>
                <c:pt idx="218">
                  <c:v>11.551538099206564</c:v>
                </c:pt>
                <c:pt idx="219">
                  <c:v>11.533785784810437</c:v>
                </c:pt>
                <c:pt idx="220">
                  <c:v>11.516727285607606</c:v>
                </c:pt>
                <c:pt idx="221">
                  <c:v>11.500334710592439</c:v>
                </c:pt>
                <c:pt idx="222">
                  <c:v>11.484580928192798</c:v>
                </c:pt>
                <c:pt idx="223">
                  <c:v>11.469439557490864</c:v>
                </c:pt>
                <c:pt idx="224">
                  <c:v>11.454884957754253</c:v>
                </c:pt>
                <c:pt idx="225">
                  <c:v>11.440892216436787</c:v>
                </c:pt>
                <c:pt idx="226">
                  <c:v>11.427437135802414</c:v>
                </c:pt>
                <c:pt idx="227">
                  <c:v>11.414496218312326</c:v>
                </c:pt>
                <c:pt idx="228">
                  <c:v>11.402046650912204</c:v>
                </c:pt>
                <c:pt idx="229">
                  <c:v>11.390066288344627</c:v>
                </c:pt>
                <c:pt idx="230">
                  <c:v>11.378533635602871</c:v>
                </c:pt>
                <c:pt idx="231">
                  <c:v>11.367427829636972</c:v>
                </c:pt>
                <c:pt idx="232">
                  <c:v>11.356728620409873</c:v>
                </c:pt>
                <c:pt idx="233">
                  <c:v>11.346416351399967</c:v>
                </c:pt>
                <c:pt idx="234">
                  <c:v>11.336471939630448</c:v>
                </c:pt>
                <c:pt idx="235">
                  <c:v>11.326876855306423</c:v>
                </c:pt>
                <c:pt idx="236">
                  <c:v>11.317613101127668</c:v>
                </c:pt>
                <c:pt idx="237">
                  <c:v>11.308663191341266</c:v>
                </c:pt>
                <c:pt idx="238">
                  <c:v>11.30001013059047</c:v>
                </c:pt>
                <c:pt idx="239">
                  <c:v>11.291637392610232</c:v>
                </c:pt>
                <c:pt idx="240">
                  <c:v>11.283528898813934</c:v>
                </c:pt>
                <c:pt idx="241">
                  <c:v>11.27566899681106</c:v>
                </c:pt>
                <c:pt idx="242">
                  <c:v>11.268042438889035</c:v>
                </c:pt>
                <c:pt idx="243">
                  <c:v>11.260634360488744</c:v>
                </c:pt>
                <c:pt idx="244">
                  <c:v>11.253430258697927</c:v>
                </c:pt>
                <c:pt idx="245">
                  <c:v>11.246415970783637</c:v>
                </c:pt>
                <c:pt idx="246">
                  <c:v>11.239577652779547</c:v>
                </c:pt>
                <c:pt idx="247">
                  <c:v>11.232901758141269</c:v>
                </c:pt>
                <c:pt idx="248">
                  <c:v>11.226375016479578</c:v>
                </c:pt>
                <c:pt idx="249">
                  <c:v>11.219984412377757</c:v>
                </c:pt>
                <c:pt idx="250">
                  <c:v>11.213717164297506</c:v>
                </c:pt>
                <c:pt idx="251">
                  <c:v>11.207560703574213</c:v>
                </c:pt>
                <c:pt idx="252">
                  <c:v>11.201502653501054</c:v>
                </c:pt>
                <c:pt idx="253">
                  <c:v>11.195530808499161</c:v>
                </c:pt>
                <c:pt idx="254">
                  <c:v>11.189633113368709</c:v>
                </c:pt>
                <c:pt idx="255">
                  <c:v>11.183797642615382</c:v>
                </c:pt>
                <c:pt idx="256">
                  <c:v>11.178012579843827</c:v>
                </c:pt>
                <c:pt idx="257">
                  <c:v>11.172266197209964</c:v>
                </c:pt>
                <c:pt idx="258">
                  <c:v>11.166546834922237</c:v>
                </c:pt>
                <c:pt idx="259">
                  <c:v>11.160842880780686</c:v>
                </c:pt>
                <c:pt idx="260">
                  <c:v>11.155142749744115</c:v>
                </c:pt>
                <c:pt idx="261">
                  <c:v>11.149434863511999</c:v>
                </c:pt>
                <c:pt idx="262">
                  <c:v>11.143707630110791</c:v>
                </c:pt>
                <c:pt idx="263">
                  <c:v>11.137949423472623</c:v>
                </c:pt>
                <c:pt idx="264">
                  <c:v>11.132148562993551</c:v>
                </c:pt>
                <c:pt idx="265">
                  <c:v>11.126293293061494</c:v>
                </c:pt>
                <c:pt idx="266">
                  <c:v>11.120371762541637</c:v>
                </c:pt>
                <c:pt idx="267">
                  <c:v>11.114372004210153</c:v>
                </c:pt>
                <c:pt idx="268">
                  <c:v>11.10828191412555</c:v>
                </c:pt>
                <c:pt idx="269">
                  <c:v>11.102089230930607</c:v>
                </c:pt>
                <c:pt idx="270">
                  <c:v>11.095781515076165</c:v>
                </c:pt>
                <c:pt idx="271">
                  <c:v>11.089346127963044</c:v>
                </c:pt>
                <c:pt idx="272">
                  <c:v>11.082770210995873</c:v>
                </c:pt>
                <c:pt idx="273">
                  <c:v>11.076040664548188</c:v>
                </c:pt>
                <c:pt idx="274">
                  <c:v>11.069144126837768</c:v>
                </c:pt>
                <c:pt idx="275">
                  <c:v>11.062066952714913</c:v>
                </c:pt>
                <c:pt idx="276">
                  <c:v>11.054795192368589</c:v>
                </c:pt>
                <c:pt idx="277">
                  <c:v>11.047314569957065</c:v>
                </c:pt>
                <c:pt idx="278">
                  <c:v>11.039610462175254</c:v>
                </c:pt>
                <c:pt idx="279">
                  <c:v>11.031667876771449</c:v>
                </c:pt>
                <c:pt idx="280">
                  <c:v>11.023471431032668</c:v>
                </c:pt>
                <c:pt idx="281">
                  <c:v>11.01500533025909</c:v>
                </c:pt>
                <c:pt idx="282">
                  <c:v>11.006253346254521</c:v>
                </c:pt>
                <c:pt idx="283">
                  <c:v>10.997198795863405</c:v>
                </c:pt>
                <c:pt idx="284">
                  <c:v>10.987824519590175</c:v>
                </c:pt>
                <c:pt idx="285">
                  <c:v>10.978112860341106</c:v>
                </c:pt>
                <c:pt idx="286">
                  <c:v>10.968045642336717</c:v>
                </c:pt>
                <c:pt idx="287">
                  <c:v>10.957604150246244</c:v>
                </c:pt>
                <c:pt idx="288">
                  <c:v>10.946769108602259</c:v>
                </c:pt>
                <c:pt idx="289">
                  <c:v>10.93552066156396</c:v>
                </c:pt>
                <c:pt idx="290">
                  <c:v>10.923838353097128</c:v>
                </c:pt>
                <c:pt idx="291">
                  <c:v>10.911701107655411</c:v>
                </c:pt>
                <c:pt idx="292">
                  <c:v>10.899087211446009</c:v>
                </c:pt>
                <c:pt idx="293">
                  <c:v>10.885974294378196</c:v>
                </c:pt>
                <c:pt idx="294">
                  <c:v>10.872339312796054</c:v>
                </c:pt>
                <c:pt idx="295">
                  <c:v>10.858158533108114</c:v>
                </c:pt>
                <c:pt idx="296">
                  <c:v>10.843407516433579</c:v>
                </c:pt>
                <c:pt idx="297">
                  <c:v>10.828061104394262</c:v>
                </c:pt>
                <c:pt idx="298">
                  <c:v>10.812093406188986</c:v>
                </c:pt>
                <c:pt idx="299">
                  <c:v>10.795477787097127</c:v>
                </c:pt>
                <c:pt idx="300">
                  <c:v>10.778186858564982</c:v>
                </c:pt>
                <c:pt idx="301">
                  <c:v>10.760192470037675</c:v>
                </c:pt>
                <c:pt idx="302">
                  <c:v>10.741465702707515</c:v>
                </c:pt>
                <c:pt idx="303">
                  <c:v>10.721976865355742</c:v>
                </c:pt>
                <c:pt idx="304">
                  <c:v>10.701695492473959</c:v>
                </c:pt>
                <c:pt idx="305">
                  <c:v>10.680590344853231</c:v>
                </c:pt>
                <c:pt idx="306">
                  <c:v>10.658629412839893</c:v>
                </c:pt>
                <c:pt idx="307">
                  <c:v>10.635779922455731</c:v>
                </c:pt>
                <c:pt idx="308">
                  <c:v>10.612008344585915</c:v>
                </c:pt>
                <c:pt idx="309">
                  <c:v>10.58728040743854</c:v>
                </c:pt>
                <c:pt idx="310">
                  <c:v>10.561561112479488</c:v>
                </c:pt>
                <c:pt idx="311">
                  <c:v>10.53481475404398</c:v>
                </c:pt>
                <c:pt idx="312">
                  <c:v>10.50700494282081</c:v>
                </c:pt>
                <c:pt idx="313">
                  <c:v>10.478094633400314</c:v>
                </c:pt>
                <c:pt idx="314">
                  <c:v>10.448046156066948</c:v>
                </c:pt>
                <c:pt idx="315">
                  <c:v>10.416821253004398</c:v>
                </c:pt>
                <c:pt idx="316">
                  <c:v>10.384381119068642</c:v>
                </c:pt>
                <c:pt idx="317">
                  <c:v>10.350686447263474</c:v>
                </c:pt>
                <c:pt idx="318">
                  <c:v>10.315697479034734</c:v>
                </c:pt>
                <c:pt idx="319">
                  <c:v>10.279374059472499</c:v>
                </c:pt>
                <c:pt idx="320">
                  <c:v>10.241675697484085</c:v>
                </c:pt>
                <c:pt idx="321">
                  <c:v>10.202561630968738</c:v>
                </c:pt>
                <c:pt idx="322">
                  <c:v>10.161990896989625</c:v>
                </c:pt>
                <c:pt idx="323">
                  <c:v>10.119922406902454</c:v>
                </c:pt>
                <c:pt idx="324">
                  <c:v>10.076315026355697</c:v>
                </c:pt>
                <c:pt idx="325">
                  <c:v>10.031127660036558</c:v>
                </c:pt>
                <c:pt idx="326">
                  <c:v>9.9843193409874136</c:v>
                </c:pt>
                <c:pt idx="327">
                  <c:v>9.935849324269121</c:v>
                </c:pt>
                <c:pt idx="328">
                  <c:v>9.8856771846972293</c:v>
                </c:pt>
                <c:pt idx="329">
                  <c:v>9.8337629183239965</c:v>
                </c:pt>
                <c:pt idx="330">
                  <c:v>9.7800670472862237</c:v>
                </c:pt>
                <c:pt idx="331">
                  <c:v>9.7245507275864167</c:v>
                </c:pt>
                <c:pt idx="332">
                  <c:v>9.6671758593230237</c:v>
                </c:pt>
                <c:pt idx="333">
                  <c:v>9.6079051988335031</c:v>
                </c:pt>
                <c:pt idx="334">
                  <c:v>9.5467024721670342</c:v>
                </c:pt>
                <c:pt idx="335">
                  <c:v>9.4835324892599573</c:v>
                </c:pt>
                <c:pt idx="336">
                  <c:v>9.4183612581431664</c:v>
                </c:pt>
                <c:pt idx="337">
                  <c:v>9.3511560984796436</c:v>
                </c:pt>
                <c:pt idx="338">
                  <c:v>9.2818857536977131</c:v>
                </c:pt>
                <c:pt idx="339">
                  <c:v>9.2105205009650035</c:v>
                </c:pt>
                <c:pt idx="340">
                  <c:v>9.137032258232459</c:v>
                </c:pt>
                <c:pt idx="341">
                  <c:v>9.0613946875721201</c:v>
                </c:pt>
                <c:pt idx="342">
                  <c:v>8.9835832940334122</c:v>
                </c:pt>
                <c:pt idx="343">
                  <c:v>8.903575519256405</c:v>
                </c:pt>
                <c:pt idx="344">
                  <c:v>8.8213508290983054</c:v>
                </c:pt>
                <c:pt idx="345">
                  <c:v>8.7368907945647472</c:v>
                </c:pt>
                <c:pt idx="346">
                  <c:v>8.6501791653728421</c:v>
                </c:pt>
                <c:pt idx="347">
                  <c:v>8.5612019355255793</c:v>
                </c:pt>
                <c:pt idx="348">
                  <c:v>8.4699474003354407</c:v>
                </c:pt>
                <c:pt idx="349">
                  <c:v>8.3764062043984691</c:v>
                </c:pt>
                <c:pt idx="350">
                  <c:v>8.280571380097701</c:v>
                </c:pt>
                <c:pt idx="351">
                  <c:v>8.182438376291497</c:v>
                </c:pt>
                <c:pt idx="352">
                  <c:v>8.0820050769291534</c:v>
                </c:pt>
                <c:pt idx="353">
                  <c:v>7.9792718094251978</c:v>
                </c:pt>
                <c:pt idx="354">
                  <c:v>7.8742413427142397</c:v>
                </c:pt>
                <c:pt idx="355">
                  <c:v>7.7669188750022933</c:v>
                </c:pt>
                <c:pt idx="356">
                  <c:v>7.6573120113225555</c:v>
                </c:pt>
                <c:pt idx="357">
                  <c:v>7.5454307310943092</c:v>
                </c:pt>
                <c:pt idx="358">
                  <c:v>7.4312873459715014</c:v>
                </c:pt>
                <c:pt idx="359">
                  <c:v>7.3148964483520418</c:v>
                </c:pt>
                <c:pt idx="360">
                  <c:v>7.1962748509945982</c:v>
                </c:pt>
                <c:pt idx="361">
                  <c:v>7.0754415182635455</c:v>
                </c:pt>
                <c:pt idx="362">
                  <c:v>6.9524174895842563</c:v>
                </c:pt>
                <c:pt idx="363">
                  <c:v>6.8272257957470686</c:v>
                </c:pt>
                <c:pt idx="364">
                  <c:v>6.6998913687454307</c:v>
                </c:pt>
                <c:pt idx="365">
                  <c:v>6.5704409458686444</c:v>
                </c:pt>
                <c:pt idx="366">
                  <c:v>6.438902968799038</c:v>
                </c:pt>
                <c:pt idx="367">
                  <c:v>6.3053074784807563</c:v>
                </c:pt>
                <c:pt idx="368">
                  <c:v>6.1696860065346479</c:v>
                </c:pt>
                <c:pt idx="369">
                  <c:v>6.0320714639944528</c:v>
                </c:pt>
                <c:pt idx="370">
                  <c:v>5.8924980281298076</c:v>
                </c:pt>
                <c:pt idx="371">
                  <c:v>5.7510010281027002</c:v>
                </c:pt>
                <c:pt idx="372">
                  <c:v>5.6076168301815512</c:v>
                </c:pt>
                <c:pt idx="373">
                  <c:v>5.4623827232032909</c:v>
                </c:pt>
                <c:pt idx="374">
                  <c:v>5.3153368049389833</c:v>
                </c:pt>
                <c:pt idx="375">
                  <c:v>5.1665178699731946</c:v>
                </c:pt>
                <c:pt idx="376">
                  <c:v>5.0159652996653223</c:v>
                </c:pt>
                <c:pt idx="377">
                  <c:v>4.8637189547094808</c:v>
                </c:pt>
                <c:pt idx="378">
                  <c:v>4.7098190707574599</c:v>
                </c:pt>
                <c:pt idx="379">
                  <c:v>4.5543061575202861</c:v>
                </c:pt>
                <c:pt idx="380">
                  <c:v>4.397220901707585</c:v>
                </c:pt>
                <c:pt idx="381">
                  <c:v>4.2386040741119153</c:v>
                </c:pt>
                <c:pt idx="382">
                  <c:v>4.078496441094841</c:v>
                </c:pt>
                <c:pt idx="383">
                  <c:v>3.9169386806784043</c:v>
                </c:pt>
                <c:pt idx="384">
                  <c:v>3.7539713034000806</c:v>
                </c:pt>
                <c:pt idx="385">
                  <c:v>3.5896345780403078</c:v>
                </c:pt>
                <c:pt idx="386">
                  <c:v>3.4239684622910276</c:v>
                </c:pt>
                <c:pt idx="387">
                  <c:v>3.2570125383905948</c:v>
                </c:pt>
                <c:pt idx="388">
                  <c:v>3.0888059537169332</c:v>
                </c:pt>
                <c:pt idx="389">
                  <c:v>2.9193873662930372</c:v>
                </c:pt>
                <c:pt idx="390">
                  <c:v>2.7487948951318431</c:v>
                </c:pt>
                <c:pt idx="391">
                  <c:v>2.5770660753190682</c:v>
                </c:pt>
                <c:pt idx="392">
                  <c:v>2.4042378177095109</c:v>
                </c:pt>
                <c:pt idx="393">
                  <c:v>2.2303463730916109</c:v>
                </c:pt>
                <c:pt idx="394">
                  <c:v>2.055427300659793</c:v>
                </c:pt>
                <c:pt idx="395">
                  <c:v>1.8795154406181271</c:v>
                </c:pt>
                <c:pt idx="396">
                  <c:v>1.7026448907273506</c:v>
                </c:pt>
                <c:pt idx="397">
                  <c:v>1.5248489866027377</c:v>
                </c:pt>
                <c:pt idx="398">
                  <c:v>1.3461602855587511</c:v>
                </c:pt>
                <c:pt idx="399">
                  <c:v>1.166610553797462</c:v>
                </c:pt>
                <c:pt idx="400">
                  <c:v>0.98623075673238314</c:v>
                </c:pt>
                <c:pt idx="401">
                  <c:v>0.80505105224235818</c:v>
                </c:pt>
                <c:pt idx="402">
                  <c:v>0.62310078664984869</c:v>
                </c:pt>
                <c:pt idx="403">
                  <c:v>0.44040849322076198</c:v>
                </c:pt>
                <c:pt idx="404">
                  <c:v>0.25700189299115689</c:v>
                </c:pt>
                <c:pt idx="405">
                  <c:v>7.2907897724242957E-2</c:v>
                </c:pt>
                <c:pt idx="406">
                  <c:v>-0.11184738518423122</c:v>
                </c:pt>
                <c:pt idx="407">
                  <c:v>-0.29723864603418304</c:v>
                </c:pt>
                <c:pt idx="408">
                  <c:v>-0.48324136455335948</c:v>
                </c:pt>
                <c:pt idx="409">
                  <c:v>-0.66983180019844213</c:v>
                </c:pt>
                <c:pt idx="410">
                  <c:v>-0.85698698117961147</c:v>
                </c:pt>
                <c:pt idx="411">
                  <c:v>-1.0446846923566291</c:v>
                </c:pt>
                <c:pt idx="412">
                  <c:v>-1.2329034621461092</c:v>
                </c:pt>
                <c:pt idx="413">
                  <c:v>-1.4216225485692213</c:v>
                </c:pt>
                <c:pt idx="414">
                  <c:v>-1.6108219245622202</c:v>
                </c:pt>
                <c:pt idx="415">
                  <c:v>-1.8004822626652222</c:v>
                </c:pt>
                <c:pt idx="416">
                  <c:v>-1.9905849191930256</c:v>
                </c:pt>
                <c:pt idx="417">
                  <c:v>-2.1811119179869505</c:v>
                </c:pt>
                <c:pt idx="418">
                  <c:v>-2.372045933838395</c:v>
                </c:pt>
                <c:pt idx="419">
                  <c:v>-2.5633702756661947</c:v>
                </c:pt>
                <c:pt idx="420">
                  <c:v>-2.7550688695250223</c:v>
                </c:pt>
                <c:pt idx="421">
                  <c:v>-2.9471262415128283</c:v>
                </c:pt>
                <c:pt idx="422">
                  <c:v>-3.1395275006421706</c:v>
                </c:pt>
                <c:pt idx="423">
                  <c:v>-3.3322583217300616</c:v>
                </c:pt>
                <c:pt idx="424">
                  <c:v>-3.5253049283601361</c:v>
                </c:pt>
                <c:pt idx="425">
                  <c:v>-3.7186540759615765</c:v>
                </c:pt>
                <c:pt idx="426">
                  <c:v>-3.9122930350459102</c:v>
                </c:pt>
                <c:pt idx="427">
                  <c:v>-4.1062095746390694</c:v>
                </c:pt>
                <c:pt idx="428">
                  <c:v>-4.3003919459391886</c:v>
                </c:pt>
                <c:pt idx="429">
                  <c:v>-4.4948288662293931</c:v>
                </c:pt>
                <c:pt idx="430">
                  <c:v>-4.6895095030695293</c:v>
                </c:pt>
                <c:pt idx="431">
                  <c:v>-4.8844234587865678</c:v>
                </c:pt>
                <c:pt idx="432">
                  <c:v>-5.0795607552829134</c:v>
                </c:pt>
                <c:pt idx="433">
                  <c:v>-5.2749118191760447</c:v>
                </c:pt>
                <c:pt idx="434">
                  <c:v>-5.470467467282365</c:v>
                </c:pt>
                <c:pt idx="435">
                  <c:v>-5.6662188924534203</c:v>
                </c:pt>
                <c:pt idx="436">
                  <c:v>-5.8621576497743373</c:v>
                </c:pt>
                <c:pt idx="437">
                  <c:v>-6.0582756431273452</c:v>
                </c:pt>
                <c:pt idx="438">
                  <c:v>-6.2545651121251966</c:v>
                </c:pt>
                <c:pt idx="439">
                  <c:v>-6.451018619416331</c:v>
                </c:pt>
                <c:pt idx="440">
                  <c:v>-6.6476290383618073</c:v>
                </c:pt>
                <c:pt idx="441">
                  <c:v>-6.8443895410840696</c:v>
                </c:pt>
                <c:pt idx="442">
                  <c:v>-7.0412935868841906</c:v>
                </c:pt>
                <c:pt idx="443">
                  <c:v>-7.2383349110257145</c:v>
                </c:pt>
                <c:pt idx="444">
                  <c:v>-7.4355075138805233</c:v>
                </c:pt>
                <c:pt idx="445">
                  <c:v>-7.6328056504325739</c:v>
                </c:pt>
                <c:pt idx="446">
                  <c:v>-7.8302238201331651</c:v>
                </c:pt>
                <c:pt idx="447">
                  <c:v>-8.0277567571029067</c:v>
                </c:pt>
                <c:pt idx="448">
                  <c:v>-8.225399420672602</c:v>
                </c:pt>
                <c:pt idx="449">
                  <c:v>-8.4231469862576986</c:v>
                </c:pt>
                <c:pt idx="450">
                  <c:v>-8.6209948365569407</c:v>
                </c:pt>
                <c:pt idx="451">
                  <c:v>-8.818938553069934</c:v>
                </c:pt>
                <c:pt idx="452">
                  <c:v>-9.0169739079238092</c:v>
                </c:pt>
                <c:pt idx="453">
                  <c:v>-9.215096856002468</c:v>
                </c:pt>
                <c:pt idx="454">
                  <c:v>-9.4133035273697541</c:v>
                </c:pt>
                <c:pt idx="455">
                  <c:v>-9.6115902199779804</c:v>
                </c:pt>
                <c:pt idx="456">
                  <c:v>-9.8099533926541902</c:v>
                </c:pt>
                <c:pt idx="457">
                  <c:v>-10.008389658355938</c:v>
                </c:pt>
                <c:pt idx="458">
                  <c:v>-10.206895777687802</c:v>
                </c:pt>
                <c:pt idx="459">
                  <c:v>-10.405468652670816</c:v>
                </c:pt>
                <c:pt idx="460">
                  <c:v>-10.604105320757478</c:v>
                </c:pt>
                <c:pt idx="461">
                  <c:v>-10.802802949082244</c:v>
                </c:pt>
                <c:pt idx="462">
                  <c:v>-11.001558828941935</c:v>
                </c:pt>
                <c:pt idx="463">
                  <c:v>-11.200370370497318</c:v>
                </c:pt>
                <c:pt idx="464">
                  <c:v>-11.399235097687782</c:v>
                </c:pt>
                <c:pt idx="465">
                  <c:v>-11.598150643351834</c:v>
                </c:pt>
                <c:pt idx="466">
                  <c:v>-11.797114744547439</c:v>
                </c:pt>
                <c:pt idx="467">
                  <c:v>-11.996125238062788</c:v>
                </c:pt>
                <c:pt idx="468">
                  <c:v>-12.195180056111818</c:v>
                </c:pt>
                <c:pt idx="469">
                  <c:v>-12.394277222208213</c:v>
                </c:pt>
                <c:pt idx="470">
                  <c:v>-12.593414847210004</c:v>
                </c:pt>
                <c:pt idx="471">
                  <c:v>-12.792591125528505</c:v>
                </c:pt>
                <c:pt idx="472">
                  <c:v>-12.991804331496567</c:v>
                </c:pt>
                <c:pt idx="473">
                  <c:v>-13.19105281588854</c:v>
                </c:pt>
                <c:pt idx="474">
                  <c:v>-13.390335002586482</c:v>
                </c:pt>
                <c:pt idx="475">
                  <c:v>-13.589649385388093</c:v>
                </c:pt>
                <c:pt idx="476">
                  <c:v>-13.788994524948837</c:v>
                </c:pt>
                <c:pt idx="477">
                  <c:v>-13.988369045854034</c:v>
                </c:pt>
                <c:pt idx="478">
                  <c:v>-14.187771633816377</c:v>
                </c:pt>
                <c:pt idx="479">
                  <c:v>-14.387201032992527</c:v>
                </c:pt>
                <c:pt idx="480">
                  <c:v>-14.586656043414427</c:v>
                </c:pt>
                <c:pt idx="481">
                  <c:v>-14.786135518531216</c:v>
                </c:pt>
                <c:pt idx="482">
                  <c:v>-14.9856383628568</c:v>
                </c:pt>
                <c:pt idx="483">
                  <c:v>-15.185163529718436</c:v>
                </c:pt>
                <c:pt idx="484">
                  <c:v>-15.384710019102821</c:v>
                </c:pt>
                <c:pt idx="485">
                  <c:v>-15.584276875595883</c:v>
                </c:pt>
                <c:pt idx="486">
                  <c:v>-15.783863186410393</c:v>
                </c:pt>
                <c:pt idx="487">
                  <c:v>-15.983468079500682</c:v>
                </c:pt>
                <c:pt idx="488">
                  <c:v>-16.183090721759228</c:v>
                </c:pt>
                <c:pt idx="489">
                  <c:v>-16.382730317290129</c:v>
                </c:pt>
                <c:pt idx="490">
                  <c:v>-16.582386105760541</c:v>
                </c:pt>
                <c:pt idx="491">
                  <c:v>-16.782057360821906</c:v>
                </c:pt>
                <c:pt idx="492">
                  <c:v>-16.981743388601423</c:v>
                </c:pt>
                <c:pt idx="493">
                  <c:v>-17.18144352625913</c:v>
                </c:pt>
                <c:pt idx="494">
                  <c:v>-17.381157140608568</c:v>
                </c:pt>
                <c:pt idx="495">
                  <c:v>-17.580883626797817</c:v>
                </c:pt>
                <c:pt idx="496">
                  <c:v>-17.780622407048579</c:v>
                </c:pt>
                <c:pt idx="497">
                  <c:v>-17.980372929450638</c:v>
                </c:pt>
                <c:pt idx="498">
                  <c:v>-18.180134666809789</c:v>
                </c:pt>
                <c:pt idx="499">
                  <c:v>-18.379907115546199</c:v>
                </c:pt>
                <c:pt idx="500">
                  <c:v>-18.579689794641457</c:v>
                </c:pt>
                <c:pt idx="501">
                  <c:v>-18.779482244632327</c:v>
                </c:pt>
                <c:pt idx="502">
                  <c:v>-18.97928402664872</c:v>
                </c:pt>
                <c:pt idx="503">
                  <c:v>-19.179094721494828</c:v>
                </c:pt>
                <c:pt idx="504">
                  <c:v>-19.378913928769808</c:v>
                </c:pt>
                <c:pt idx="505">
                  <c:v>-19.578741266028853</c:v>
                </c:pt>
                <c:pt idx="506">
                  <c:v>-19.778576367980424</c:v>
                </c:pt>
                <c:pt idx="507">
                  <c:v>-19.978418885719286</c:v>
                </c:pt>
                <c:pt idx="508">
                  <c:v>-20.178268485994288</c:v>
                </c:pt>
                <c:pt idx="509">
                  <c:v>-20.378124850507575</c:v>
                </c:pt>
                <c:pt idx="510">
                  <c:v>-20.577987675246185</c:v>
                </c:pt>
                <c:pt idx="511">
                  <c:v>-20.777856669842073</c:v>
                </c:pt>
                <c:pt idx="512">
                  <c:v>-20.977731556961693</c:v>
                </c:pt>
                <c:pt idx="513">
                  <c:v>-21.177612071722457</c:v>
                </c:pt>
                <c:pt idx="514">
                  <c:v>-21.377497961134718</c:v>
                </c:pt>
                <c:pt idx="515">
                  <c:v>-21.577388983569428</c:v>
                </c:pt>
                <c:pt idx="516">
                  <c:v>-21.777284908248575</c:v>
                </c:pt>
                <c:pt idx="517">
                  <c:v>-21.977185514759565</c:v>
                </c:pt>
                <c:pt idx="518">
                  <c:v>-22.177090592590002</c:v>
                </c:pt>
                <c:pt idx="519">
                  <c:v>-22.376999940684257</c:v>
                </c:pt>
                <c:pt idx="520">
                  <c:v>-22.576913367019227</c:v>
                </c:pt>
                <c:pt idx="521">
                  <c:v>-22.776830688199233</c:v>
                </c:pt>
                <c:pt idx="522">
                  <c:v>-22.976751729069203</c:v>
                </c:pt>
                <c:pt idx="523">
                  <c:v>-23.176676322344704</c:v>
                </c:pt>
                <c:pt idx="524">
                  <c:v>-23.376604308259079</c:v>
                </c:pt>
                <c:pt idx="525">
                  <c:v>-23.576535534226061</c:v>
                </c:pt>
                <c:pt idx="526">
                  <c:v>-23.776469854517302</c:v>
                </c:pt>
                <c:pt idx="527">
                  <c:v>-23.976407129954787</c:v>
                </c:pt>
                <c:pt idx="528">
                  <c:v>-24.176347227616496</c:v>
                </c:pt>
                <c:pt idx="529">
                  <c:v>-24.376290020555892</c:v>
                </c:pt>
                <c:pt idx="530">
                  <c:v>-24.576235387533416</c:v>
                </c:pt>
                <c:pt idx="531">
                  <c:v>-24.776183212760294</c:v>
                </c:pt>
                <c:pt idx="532">
                  <c:v>-24.976133385653295</c:v>
                </c:pt>
                <c:pt idx="533">
                  <c:v>-25.176085800601633</c:v>
                </c:pt>
                <c:pt idx="534">
                  <c:v>-25.376040356743168</c:v>
                </c:pt>
                <c:pt idx="535">
                  <c:v>-25.575996957751222</c:v>
                </c:pt>
                <c:pt idx="536">
                  <c:v>-25.775955511630578</c:v>
                </c:pt>
                <c:pt idx="537">
                  <c:v>-25.975915930523339</c:v>
                </c:pt>
                <c:pt idx="538">
                  <c:v>-26.175878130522459</c:v>
                </c:pt>
                <c:pt idx="539">
                  <c:v>-26.375842031494592</c:v>
                </c:pt>
                <c:pt idx="540">
                  <c:v>-26.575807556910402</c:v>
                </c:pt>
                <c:pt idx="541">
                  <c:v>-26.775774633682488</c:v>
                </c:pt>
              </c:numCache>
            </c:numRef>
          </c:yVal>
          <c:smooth val="1"/>
          <c:extLst>
            <c:ext xmlns:c16="http://schemas.microsoft.com/office/drawing/2014/chart" uri="{C3380CC4-5D6E-409C-BE32-E72D297353CC}">
              <c16:uniqueId val="{00000000-0B5D-4E78-BD48-CC54C4E43363}"/>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91.197917567803529</c:v>
                </c:pt>
                <c:pt idx="1">
                  <c:v>91.225811859698467</c:v>
                </c:pt>
                <c:pt idx="2">
                  <c:v>91.254355264512185</c:v>
                </c:pt>
                <c:pt idx="3">
                  <c:v>91.283562857099255</c:v>
                </c:pt>
                <c:pt idx="4">
                  <c:v>91.313450060243227</c:v>
                </c:pt>
                <c:pt idx="5">
                  <c:v>91.344032652531766</c:v>
                </c:pt>
                <c:pt idx="6">
                  <c:v>91.375326776398964</c:v>
                </c:pt>
                <c:pt idx="7">
                  <c:v>91.407348946337564</c:v>
                </c:pt>
                <c:pt idx="8">
                  <c:v>91.440116057283589</c:v>
                </c:pt>
                <c:pt idx="9">
                  <c:v>91.473645393176298</c:v>
                </c:pt>
                <c:pt idx="10">
                  <c:v>91.507954635696024</c:v>
                </c:pt>
                <c:pt idx="11">
                  <c:v>91.543061873182481</c:v>
                </c:pt>
                <c:pt idx="12">
                  <c:v>91.57898560973625</c:v>
                </c:pt>
                <c:pt idx="13">
                  <c:v>91.615744774505742</c:v>
                </c:pt>
                <c:pt idx="14">
                  <c:v>91.653358731162271</c:v>
                </c:pt>
                <c:pt idx="15">
                  <c:v>91.691847287565594</c:v>
                </c:pt>
                <c:pt idx="16">
                  <c:v>91.731230705621911</c:v>
                </c:pt>
                <c:pt idx="17">
                  <c:v>91.771529711337209</c:v>
                </c:pt>
                <c:pt idx="18">
                  <c:v>91.812765505067034</c:v>
                </c:pt>
                <c:pt idx="19">
                  <c:v>91.854959771965753</c:v>
                </c:pt>
                <c:pt idx="20">
                  <c:v>91.89813469263602</c:v>
                </c:pt>
                <c:pt idx="21">
                  <c:v>91.942312953981187</c:v>
                </c:pt>
                <c:pt idx="22">
                  <c:v>91.987517760261014</c:v>
                </c:pt>
                <c:pt idx="23">
                  <c:v>92.033772844353123</c:v>
                </c:pt>
                <c:pt idx="24">
                  <c:v>92.081102479220363</c:v>
                </c:pt>
                <c:pt idx="25">
                  <c:v>92.129531489585418</c:v>
                </c:pt>
                <c:pt idx="26">
                  <c:v>92.17908526381305</c:v>
                </c:pt>
                <c:pt idx="27">
                  <c:v>92.229789766000494</c:v>
                </c:pt>
                <c:pt idx="28">
                  <c:v>92.281671548275696</c:v>
                </c:pt>
                <c:pt idx="29">
                  <c:v>92.334757763303344</c:v>
                </c:pt>
                <c:pt idx="30">
                  <c:v>92.389076176997847</c:v>
                </c:pt>
                <c:pt idx="31">
                  <c:v>92.444655181442243</c:v>
                </c:pt>
                <c:pt idx="32">
                  <c:v>92.501523808011186</c:v>
                </c:pt>
                <c:pt idx="33">
                  <c:v>92.559711740696685</c:v>
                </c:pt>
                <c:pt idx="34">
                  <c:v>92.619249329633064</c:v>
                </c:pt>
                <c:pt idx="35">
                  <c:v>92.680167604819161</c:v>
                </c:pt>
                <c:pt idx="36">
                  <c:v>92.742498290033012</c:v>
                </c:pt>
                <c:pt idx="37">
                  <c:v>92.806273816935473</c:v>
                </c:pt>
                <c:pt idx="38">
                  <c:v>92.871527339357229</c:v>
                </c:pt>
                <c:pt idx="39">
                  <c:v>92.938292747763668</c:v>
                </c:pt>
                <c:pt idx="40">
                  <c:v>93.006604683890544</c:v>
                </c:pt>
                <c:pt idx="41">
                  <c:v>93.076498555543424</c:v>
                </c:pt>
                <c:pt idx="42">
                  <c:v>93.148010551551948</c:v>
                </c:pt>
                <c:pt idx="43">
                  <c:v>93.221177656869557</c:v>
                </c:pt>
                <c:pt idx="44">
                  <c:v>93.296037667807937</c:v>
                </c:pt>
                <c:pt idx="45">
                  <c:v>93.372629207394382</c:v>
                </c:pt>
                <c:pt idx="46">
                  <c:v>93.450991740838973</c:v>
                </c:pt>
                <c:pt idx="47">
                  <c:v>93.531165591096681</c:v>
                </c:pt>
                <c:pt idx="48">
                  <c:v>93.613191954508906</c:v>
                </c:pt>
                <c:pt idx="49">
                  <c:v>93.697112916506455</c:v>
                </c:pt>
                <c:pt idx="50">
                  <c:v>93.78297146735467</c:v>
                </c:pt>
                <c:pt idx="51">
                  <c:v>93.870811517919748</c:v>
                </c:pt>
                <c:pt idx="52">
                  <c:v>93.960677915432782</c:v>
                </c:pt>
                <c:pt idx="53">
                  <c:v>94.052616459227082</c:v>
                </c:pt>
                <c:pt idx="54">
                  <c:v>94.146673916420127</c:v>
                </c:pt>
                <c:pt idx="55">
                  <c:v>94.242898037511537</c:v>
                </c:pt>
                <c:pt idx="56">
                  <c:v>94.34133757186386</c:v>
                </c:pt>
                <c:pt idx="57">
                  <c:v>94.442042283031853</c:v>
                </c:pt>
                <c:pt idx="58">
                  <c:v>94.545062963901159</c:v>
                </c:pt>
                <c:pt idx="59">
                  <c:v>94.650451451596723</c:v>
                </c:pt>
                <c:pt idx="60">
                  <c:v>94.758260642115033</c:v>
                </c:pt>
                <c:pt idx="61">
                  <c:v>94.868544504633945</c:v>
                </c:pt>
                <c:pt idx="62">
                  <c:v>94.981358095447064</c:v>
                </c:pt>
                <c:pt idx="63">
                  <c:v>95.096757571468359</c:v>
                </c:pt>
                <c:pt idx="64">
                  <c:v>95.214800203246369</c:v>
                </c:pt>
                <c:pt idx="65">
                  <c:v>95.335544387424648</c:v>
                </c:pt>
                <c:pt idx="66">
                  <c:v>95.459049658579033</c:v>
                </c:pt>
                <c:pt idx="67">
                  <c:v>95.58537670035858</c:v>
                </c:pt>
                <c:pt idx="68">
                  <c:v>95.714587355850227</c:v>
                </c:pt>
                <c:pt idx="69">
                  <c:v>95.846744637083489</c:v>
                </c:pt>
                <c:pt idx="70">
                  <c:v>95.981912733584593</c:v>
                </c:pt>
                <c:pt idx="71">
                  <c:v>96.120157019882413</c:v>
                </c:pt>
                <c:pt idx="72">
                  <c:v>96.261544061864768</c:v>
                </c:pt>
                <c:pt idx="73">
                  <c:v>96.40614162187407</c:v>
                </c:pt>
                <c:pt idx="74">
                  <c:v>96.554018662424966</c:v>
                </c:pt>
                <c:pt idx="75">
                  <c:v>96.705245348420789</c:v>
                </c:pt>
                <c:pt idx="76">
                  <c:v>96.859893047734545</c:v>
                </c:pt>
                <c:pt idx="77">
                  <c:v>97.01803433001551</c:v>
                </c:pt>
                <c:pt idx="78">
                  <c:v>97.179742963570959</c:v>
                </c:pt>
                <c:pt idx="79">
                  <c:v>97.345093910165076</c:v>
                </c:pt>
                <c:pt idx="80">
                  <c:v>97.514163317568872</c:v>
                </c:pt>
                <c:pt idx="81">
                  <c:v>97.687028509682136</c:v>
                </c:pt>
                <c:pt idx="82">
                  <c:v>97.863767974041934</c:v>
                </c:pt>
                <c:pt idx="83">
                  <c:v>98.044461346520421</c:v>
                </c:pt>
                <c:pt idx="84">
                  <c:v>98.22918939300304</c:v>
                </c:pt>
                <c:pt idx="85">
                  <c:v>98.418033987830142</c:v>
                </c:pt>
                <c:pt idx="86">
                  <c:v>98.611078088771762</c:v>
                </c:pt>
                <c:pt idx="87">
                  <c:v>98.808405708294174</c:v>
                </c:pt>
                <c:pt idx="88">
                  <c:v>99.010101880867325</c:v>
                </c:pt>
                <c:pt idx="89">
                  <c:v>99.216252626048529</c:v>
                </c:pt>
                <c:pt idx="90">
                  <c:v>99.426944907067778</c:v>
                </c:pt>
                <c:pt idx="91">
                  <c:v>99.642266584627308</c:v>
                </c:pt>
                <c:pt idx="92">
                  <c:v>99.862306365618736</c:v>
                </c:pt>
                <c:pt idx="93">
                  <c:v>100.08715374644709</c:v>
                </c:pt>
                <c:pt idx="94">
                  <c:v>100.31689895064329</c:v>
                </c:pt>
                <c:pt idx="95">
                  <c:v>100.5516328604337</c:v>
                </c:pt>
                <c:pt idx="96">
                  <c:v>100.79144694192763</c:v>
                </c:pt>
                <c:pt idx="97">
                  <c:v>101.03643316357352</c:v>
                </c:pt>
                <c:pt idx="98">
                  <c:v>101.28668390752661</c:v>
                </c:pt>
                <c:pt idx="99">
                  <c:v>101.54229187356466</c:v>
                </c:pt>
                <c:pt idx="100">
                  <c:v>101.80334997518216</c:v>
                </c:pt>
                <c:pt idx="101">
                  <c:v>102.06995122748849</c:v>
                </c:pt>
                <c:pt idx="102">
                  <c:v>102.34218862653628</c:v>
                </c:pt>
                <c:pt idx="103">
                  <c:v>102.62015501970197</c:v>
                </c:pt>
                <c:pt idx="104">
                  <c:v>102.90394296674638</c:v>
                </c:pt>
                <c:pt idx="105">
                  <c:v>103.1936445911855</c:v>
                </c:pt>
                <c:pt idx="106">
                  <c:v>103.48935142161214</c:v>
                </c:pt>
                <c:pt idx="107">
                  <c:v>103.79115422261745</c:v>
                </c:pt>
                <c:pt idx="108">
                  <c:v>104.09914281497973</c:v>
                </c:pt>
                <c:pt idx="109">
                  <c:v>104.4134058848047</c:v>
                </c:pt>
                <c:pt idx="110">
                  <c:v>104.73403078132634</c:v>
                </c:pt>
                <c:pt idx="111">
                  <c:v>105.06110330310707</c:v>
                </c:pt>
                <c:pt idx="112">
                  <c:v>105.39470747240915</c:v>
                </c:pt>
                <c:pt idx="113">
                  <c:v>105.73492529754893</c:v>
                </c:pt>
                <c:pt idx="114">
                  <c:v>106.08183652309501</c:v>
                </c:pt>
                <c:pt idx="115">
                  <c:v>106.43551836782173</c:v>
                </c:pt>
                <c:pt idx="116">
                  <c:v>106.79604525038893</c:v>
                </c:pt>
                <c:pt idx="117">
                  <c:v>107.16348850279313</c:v>
                </c:pt>
                <c:pt idx="118">
                  <c:v>107.53791607170139</c:v>
                </c:pt>
                <c:pt idx="119">
                  <c:v>107.91939220787197</c:v>
                </c:pt>
                <c:pt idx="120">
                  <c:v>108.30797714395257</c:v>
                </c:pt>
                <c:pt idx="121">
                  <c:v>108.703726761051</c:v>
                </c:pt>
                <c:pt idx="122">
                  <c:v>109.10669224457989</c:v>
                </c:pt>
                <c:pt idx="123">
                  <c:v>109.51691972999778</c:v>
                </c:pt>
                <c:pt idx="124">
                  <c:v>109.93444993919397</c:v>
                </c:pt>
                <c:pt idx="125">
                  <c:v>110.35931780839893</c:v>
                </c:pt>
                <c:pt idx="126">
                  <c:v>110.79155210864718</c:v>
                </c:pt>
                <c:pt idx="127">
                  <c:v>111.23117505996352</c:v>
                </c:pt>
                <c:pt idx="128">
                  <c:v>111.6782019406043</c:v>
                </c:pt>
                <c:pt idx="129">
                  <c:v>112.1326406928472</c:v>
                </c:pt>
                <c:pt idx="130">
                  <c:v>112.59449152697903</c:v>
                </c:pt>
                <c:pt idx="131">
                  <c:v>113.06374652531052</c:v>
                </c:pt>
                <c:pt idx="132">
                  <c:v>113.54038924820509</c:v>
                </c:pt>
                <c:pt idx="133">
                  <c:v>114.02439434428328</c:v>
                </c:pt>
                <c:pt idx="134">
                  <c:v>114.51572716711939</c:v>
                </c:pt>
                <c:pt idx="135">
                  <c:v>115.01434340091438</c:v>
                </c:pt>
                <c:pt idx="136">
                  <c:v>115.52018869776929</c:v>
                </c:pt>
                <c:pt idx="137">
                  <c:v>116.03319832932708</c:v>
                </c:pt>
                <c:pt idx="138">
                  <c:v>116.55329685566755</c:v>
                </c:pt>
                <c:pt idx="139">
                  <c:v>117.08039781445518</c:v>
                </c:pt>
                <c:pt idx="140">
                  <c:v>117.61440343341181</c:v>
                </c:pt>
                <c:pt idx="141">
                  <c:v>118.15520436925604</c:v>
                </c:pt>
                <c:pt idx="142">
                  <c:v>118.7026794762771</c:v>
                </c:pt>
                <c:pt idx="143">
                  <c:v>119.25669560771695</c:v>
                </c:pt>
                <c:pt idx="144">
                  <c:v>119.81710745309863</c:v>
                </c:pt>
                <c:pt idx="145">
                  <c:v>120.38375741456964</c:v>
                </c:pt>
                <c:pt idx="146">
                  <c:v>120.95647552522692</c:v>
                </c:pt>
                <c:pt idx="147">
                  <c:v>121.53507941222882</c:v>
                </c:pt>
                <c:pt idx="148">
                  <c:v>122.11937430732128</c:v>
                </c:pt>
                <c:pt idx="149">
                  <c:v>122.7091531071618</c:v>
                </c:pt>
                <c:pt idx="150">
                  <c:v>123.30419648554675</c:v>
                </c:pt>
                <c:pt idx="151">
                  <c:v>123.9042730593326</c:v>
                </c:pt>
                <c:pt idx="152">
                  <c:v>124.50913960947048</c:v>
                </c:pt>
                <c:pt idx="153">
                  <c:v>125.11854135818308</c:v>
                </c:pt>
                <c:pt idx="154">
                  <c:v>125.73221230286413</c:v>
                </c:pt>
                <c:pt idx="155">
                  <c:v>126.34987560682558</c:v>
                </c:pt>
                <c:pt idx="156">
                  <c:v>126.97124404651406</c:v>
                </c:pt>
                <c:pt idx="157">
                  <c:v>127.59602051431237</c:v>
                </c:pt>
                <c:pt idx="158">
                  <c:v>128.2238985755061</c:v>
                </c:pt>
                <c:pt idx="159">
                  <c:v>128.85456307746867</c:v>
                </c:pt>
                <c:pt idx="160">
                  <c:v>129.48769080858685</c:v>
                </c:pt>
                <c:pt idx="161">
                  <c:v>130.12295120391869</c:v>
                </c:pt>
                <c:pt idx="162">
                  <c:v>130.76000709408416</c:v>
                </c:pt>
                <c:pt idx="163">
                  <c:v>131.39851549340321</c:v>
                </c:pt>
                <c:pt idx="164">
                  <c:v>132.03812842285711</c:v>
                </c:pt>
                <c:pt idx="165">
                  <c:v>132.67849376305364</c:v>
                </c:pt>
                <c:pt idx="166">
                  <c:v>133.319256132021</c:v>
                </c:pt>
                <c:pt idx="167">
                  <c:v>133.96005778236866</c:v>
                </c:pt>
                <c:pt idx="168">
                  <c:v>134.60053951212134</c:v>
                </c:pt>
                <c:pt idx="169">
                  <c:v>135.2403415833661</c:v>
                </c:pt>
                <c:pt idx="170">
                  <c:v>135.87910464275831</c:v>
                </c:pt>
                <c:pt idx="171">
                  <c:v>136.51647063791157</c:v>
                </c:pt>
                <c:pt idx="172">
                  <c:v>137.15208372374033</c:v>
                </c:pt>
                <c:pt idx="173">
                  <c:v>137.78559115294559</c:v>
                </c:pt>
                <c:pt idx="174">
                  <c:v>138.41664414501594</c:v>
                </c:pt>
                <c:pt idx="175">
                  <c:v>139.04489872838039</c:v>
                </c:pt>
                <c:pt idx="176">
                  <c:v>139.67001655064431</c:v>
                </c:pt>
                <c:pt idx="177">
                  <c:v>140.29166565222187</c:v>
                </c:pt>
                <c:pt idx="178">
                  <c:v>140.90952119908292</c:v>
                </c:pt>
                <c:pt idx="179">
                  <c:v>141.52326617078842</c:v>
                </c:pt>
                <c:pt idx="180">
                  <c:v>142.13259200048176</c:v>
                </c:pt>
                <c:pt idx="181">
                  <c:v>142.73719916400131</c:v>
                </c:pt>
                <c:pt idx="182">
                  <c:v>143.33679771581538</c:v>
                </c:pt>
                <c:pt idx="183">
                  <c:v>143.93110777001374</c:v>
                </c:pt>
                <c:pt idx="184">
                  <c:v>144.51985992511297</c:v>
                </c:pt>
                <c:pt idx="185">
                  <c:v>145.1027956319675</c:v>
                </c:pt>
                <c:pt idx="186">
                  <c:v>145.67966750457853</c:v>
                </c:pt>
                <c:pt idx="187">
                  <c:v>146.25023957408251</c:v>
                </c:pt>
                <c:pt idx="188">
                  <c:v>146.81428748665181</c:v>
                </c:pt>
                <c:pt idx="189">
                  <c:v>147.37159864647859</c:v>
                </c:pt>
                <c:pt idx="190">
                  <c:v>147.9219723053817</c:v>
                </c:pt>
                <c:pt idx="191">
                  <c:v>148.46521960094356</c:v>
                </c:pt>
                <c:pt idx="192">
                  <c:v>149.00116354538</c:v>
                </c:pt>
                <c:pt idx="193">
                  <c:v>149.52963896760889</c:v>
                </c:pt>
                <c:pt idx="194">
                  <c:v>150.05049241121287</c:v>
                </c:pt>
                <c:pt idx="195">
                  <c:v>150.56358199115897</c:v>
                </c:pt>
                <c:pt idx="196">
                  <c:v>151.06877721227752</c:v>
                </c:pt>
                <c:pt idx="197">
                  <c:v>151.56595875259825</c:v>
                </c:pt>
                <c:pt idx="198">
                  <c:v>152.05501821469639</c:v>
                </c:pt>
                <c:pt idx="199">
                  <c:v>152.5358578482201</c:v>
                </c:pt>
                <c:pt idx="200">
                  <c:v>153.0083902467654</c:v>
                </c:pt>
                <c:pt idx="201">
                  <c:v>153.47253802221408</c:v>
                </c:pt>
                <c:pt idx="202">
                  <c:v>153.92823345958757</c:v>
                </c:pt>
                <c:pt idx="203">
                  <c:v>154.37541815537693</c:v>
                </c:pt>
                <c:pt idx="204">
                  <c:v>154.81404264219495</c:v>
                </c:pt>
                <c:pt idx="205">
                  <c:v>155.24406600247241</c:v>
                </c:pt>
                <c:pt idx="206">
                  <c:v>155.66545547377524</c:v>
                </c:pt>
                <c:pt idx="207">
                  <c:v>156.0781860481689</c:v>
                </c:pt>
                <c:pt idx="208">
                  <c:v>156.48224006789786</c:v>
                </c:pt>
                <c:pt idx="209">
                  <c:v>156.87760681947935</c:v>
                </c:pt>
                <c:pt idx="210">
                  <c:v>157.26428212814955</c:v>
                </c:pt>
                <c:pt idx="211">
                  <c:v>157.64226795442619</c:v>
                </c:pt>
                <c:pt idx="212">
                  <c:v>158.01157199438896</c:v>
                </c:pt>
                <c:pt idx="213">
                  <c:v>158.37220728511508</c:v>
                </c:pt>
                <c:pt idx="214">
                  <c:v>158.72419181654831</c:v>
                </c:pt>
                <c:pt idx="215">
                  <c:v>159.06754815092464</c:v>
                </c:pt>
                <c:pt idx="216">
                  <c:v>159.40230305073592</c:v>
                </c:pt>
                <c:pt idx="217">
                  <c:v>159.72848711606667</c:v>
                </c:pt>
                <c:pt idx="218">
                  <c:v>160.04613443201359</c:v>
                </c:pt>
                <c:pt idx="219">
                  <c:v>160.35528222677175</c:v>
                </c:pt>
                <c:pt idx="220">
                  <c:v>160.65597054085541</c:v>
                </c:pt>
                <c:pt idx="221">
                  <c:v>160.94824190782009</c:v>
                </c:pt>
                <c:pt idx="222">
                  <c:v>161.23214104674727</c:v>
                </c:pt>
                <c:pt idx="223">
                  <c:v>161.50771456667462</c:v>
                </c:pt>
                <c:pt idx="224">
                  <c:v>161.77501068306583</c:v>
                </c:pt>
                <c:pt idx="225">
                  <c:v>162.03407894634438</c:v>
                </c:pt>
                <c:pt idx="226">
                  <c:v>162.28496998245595</c:v>
                </c:pt>
                <c:pt idx="227">
                  <c:v>162.52773524535786</c:v>
                </c:pt>
                <c:pt idx="228">
                  <c:v>162.76242678129324</c:v>
                </c:pt>
                <c:pt idx="229">
                  <c:v>162.98909700465981</c:v>
                </c:pt>
                <c:pt idx="230">
                  <c:v>163.20779848524592</c:v>
                </c:pt>
                <c:pt idx="231">
                  <c:v>163.41858374657841</c:v>
                </c:pt>
                <c:pt idx="232">
                  <c:v>163.62150507509617</c:v>
                </c:pt>
                <c:pt idx="233">
                  <c:v>163.81661433985062</c:v>
                </c:pt>
                <c:pt idx="234">
                  <c:v>164.00396282240806</c:v>
                </c:pt>
                <c:pt idx="235">
                  <c:v>164.1836010566245</c:v>
                </c:pt>
                <c:pt idx="236">
                  <c:v>164.3555786779531</c:v>
                </c:pt>
                <c:pt idx="237">
                  <c:v>164.51994428193794</c:v>
                </c:pt>
                <c:pt idx="238">
                  <c:v>164.67674529154777</c:v>
                </c:pt>
                <c:pt idx="239">
                  <c:v>164.82602783300374</c:v>
                </c:pt>
                <c:pt idx="240">
                  <c:v>164.96783661975888</c:v>
                </c:pt>
                <c:pt idx="241">
                  <c:v>165.10221484429226</c:v>
                </c:pt>
                <c:pt idx="242">
                  <c:v>165.22920407738843</c:v>
                </c:pt>
                <c:pt idx="243">
                  <c:v>165.34884417458144</c:v>
                </c:pt>
                <c:pt idx="244">
                  <c:v>165.46117318945443</c:v>
                </c:pt>
                <c:pt idx="245">
                  <c:v>165.56622729349658</c:v>
                </c:pt>
                <c:pt idx="246">
                  <c:v>165.66404070223234</c:v>
                </c:pt>
                <c:pt idx="247">
                  <c:v>165.75464560735242</c:v>
                </c:pt>
                <c:pt idx="248">
                  <c:v>165.83807211458944</c:v>
                </c:pt>
                <c:pt idx="249">
                  <c:v>165.91434818709814</c:v>
                </c:pt>
                <c:pt idx="250">
                  <c:v>165.98349959411462</c:v>
                </c:pt>
                <c:pt idx="251">
                  <c:v>166.04554986468492</c:v>
                </c:pt>
                <c:pt idx="252">
                  <c:v>166.10052024627299</c:v>
                </c:pt>
                <c:pt idx="253">
                  <c:v>166.14842966807072</c:v>
                </c:pt>
                <c:pt idx="254">
                  <c:v>166.18929470885391</c:v>
                </c:pt>
                <c:pt idx="255">
                  <c:v>166.22312956924338</c:v>
                </c:pt>
                <c:pt idx="256">
                  <c:v>166.24994604824877</c:v>
                </c:pt>
                <c:pt idx="257">
                  <c:v>166.26975352398983</c:v>
                </c:pt>
                <c:pt idx="258">
                  <c:v>166.282558938509</c:v>
                </c:pt>
                <c:pt idx="259">
                  <c:v>166.28836678660562</c:v>
                </c:pt>
                <c:pt idx="260">
                  <c:v>166.287179108641</c:v>
                </c:pt>
                <c:pt idx="261">
                  <c:v>166.27899548728132</c:v>
                </c:pt>
                <c:pt idx="262">
                  <c:v>166.26381304816334</c:v>
                </c:pt>
                <c:pt idx="263">
                  <c:v>166.24162646448627</c:v>
                </c:pt>
                <c:pt idx="264">
                  <c:v>166.21242796555015</c:v>
                </c:pt>
                <c:pt idx="265">
                  <c:v>166.17620734928076</c:v>
                </c:pt>
                <c:pt idx="266">
                  <c:v>166.13295199879761</c:v>
                </c:pt>
                <c:pt idx="267">
                  <c:v>166.08264690310085</c:v>
                </c:pt>
                <c:pt idx="268">
                  <c:v>166.02527468196845</c:v>
                </c:pt>
                <c:pt idx="269">
                  <c:v>165.96081561517701</c:v>
                </c:pt>
                <c:pt idx="270">
                  <c:v>165.8892476761722</c:v>
                </c:pt>
                <c:pt idx="271">
                  <c:v>165.81054657033715</c:v>
                </c:pt>
                <c:pt idx="272">
                  <c:v>165.72468577802093</c:v>
                </c:pt>
                <c:pt idx="273">
                  <c:v>165.63163660250879</c:v>
                </c:pt>
                <c:pt idx="274">
                  <c:v>165.5313682231311</c:v>
                </c:pt>
                <c:pt idx="275">
                  <c:v>165.42384775372679</c:v>
                </c:pt>
                <c:pt idx="276">
                  <c:v>165.30904030668995</c:v>
                </c:pt>
                <c:pt idx="277">
                  <c:v>165.18690906284775</c:v>
                </c:pt>
                <c:pt idx="278">
                  <c:v>165.05741534742975</c:v>
                </c:pt>
                <c:pt idx="279">
                  <c:v>164.92051871240511</c:v>
                </c:pt>
                <c:pt idx="280">
                  <c:v>164.77617702547678</c:v>
                </c:pt>
                <c:pt idx="281">
                  <c:v>164.62434656603511</c:v>
                </c:pt>
                <c:pt idx="282">
                  <c:v>164.46498212838367</c:v>
                </c:pt>
                <c:pt idx="283">
                  <c:v>164.29803713256143</c:v>
                </c:pt>
                <c:pt idx="284">
                  <c:v>164.12346374309311</c:v>
                </c:pt>
                <c:pt idx="285">
                  <c:v>163.94121299600718</c:v>
                </c:pt>
                <c:pt idx="286">
                  <c:v>163.75123493446483</c:v>
                </c:pt>
                <c:pt idx="287">
                  <c:v>163.55347875334695</c:v>
                </c:pt>
                <c:pt idx="288">
                  <c:v>163.34789295314462</c:v>
                </c:pt>
                <c:pt idx="289">
                  <c:v>163.13442550349967</c:v>
                </c:pt>
                <c:pt idx="290">
                  <c:v>162.91302401672851</c:v>
                </c:pt>
                <c:pt idx="291">
                  <c:v>162.68363593166285</c:v>
                </c:pt>
                <c:pt idx="292">
                  <c:v>162.44620870811681</c:v>
                </c:pt>
                <c:pt idx="293">
                  <c:v>162.20069003228397</c:v>
                </c:pt>
                <c:pt idx="294">
                  <c:v>161.94702803333237</c:v>
                </c:pt>
                <c:pt idx="295">
                  <c:v>161.68517151144948</c:v>
                </c:pt>
                <c:pt idx="296">
                  <c:v>161.41507017755063</c:v>
                </c:pt>
                <c:pt idx="297">
                  <c:v>161.1366749048259</c:v>
                </c:pt>
                <c:pt idx="298">
                  <c:v>160.84993799225356</c:v>
                </c:pt>
                <c:pt idx="299">
                  <c:v>160.55481344016113</c:v>
                </c:pt>
                <c:pt idx="300">
                  <c:v>160.25125723785146</c:v>
                </c:pt>
                <c:pt idx="301">
                  <c:v>159.93922766324215</c:v>
                </c:pt>
                <c:pt idx="302">
                  <c:v>159.61868559439912</c:v>
                </c:pt>
                <c:pt idx="303">
                  <c:v>159.28959483275608</c:v>
                </c:pt>
                <c:pt idx="304">
                  <c:v>158.95192243771839</c:v>
                </c:pt>
                <c:pt idx="305">
                  <c:v>158.60563907225915</c:v>
                </c:pt>
                <c:pt idx="306">
                  <c:v>158.25071935899322</c:v>
                </c:pt>
                <c:pt idx="307">
                  <c:v>157.88714224610985</c:v>
                </c:pt>
                <c:pt idx="308">
                  <c:v>157.51489138240925</c:v>
                </c:pt>
                <c:pt idx="309">
                  <c:v>157.13395550055876</c:v>
                </c:pt>
                <c:pt idx="310">
                  <c:v>156.74432880754281</c:v>
                </c:pt>
                <c:pt idx="311">
                  <c:v>156.34601138113004</c:v>
                </c:pt>
                <c:pt idx="312">
                  <c:v>155.93900957102193</c:v>
                </c:pt>
                <c:pt idx="313">
                  <c:v>155.52333640319881</c:v>
                </c:pt>
                <c:pt idx="314">
                  <c:v>155.09901198579951</c:v>
                </c:pt>
                <c:pt idx="315">
                  <c:v>154.66606391471379</c:v>
                </c:pt>
                <c:pt idx="316">
                  <c:v>154.22452767689575</c:v>
                </c:pt>
                <c:pt idx="317">
                  <c:v>153.77444704924108</c:v>
                </c:pt>
                <c:pt idx="318">
                  <c:v>153.31587449070366</c:v>
                </c:pt>
                <c:pt idx="319">
                  <c:v>152.84887152517635</c:v>
                </c:pt>
                <c:pt idx="320">
                  <c:v>152.37350911250459</c:v>
                </c:pt>
                <c:pt idx="321">
                  <c:v>151.88986800487294</c:v>
                </c:pt>
                <c:pt idx="322">
                  <c:v>151.39803908567006</c:v>
                </c:pt>
                <c:pt idx="323">
                  <c:v>150.89812368784536</c:v>
                </c:pt>
                <c:pt idx="324">
                  <c:v>150.39023388867514</c:v>
                </c:pt>
                <c:pt idx="325">
                  <c:v>149.87449277780541</c:v>
                </c:pt>
                <c:pt idx="326">
                  <c:v>149.35103469539857</c:v>
                </c:pt>
                <c:pt idx="327">
                  <c:v>148.82000543721614</c:v>
                </c:pt>
                <c:pt idx="328">
                  <c:v>148.28156242349746</c:v>
                </c:pt>
                <c:pt idx="329">
                  <c:v>147.73587482856533</c:v>
                </c:pt>
                <c:pt idx="330">
                  <c:v>147.18312366820192</c:v>
                </c:pt>
                <c:pt idx="331">
                  <c:v>146.6235018419766</c:v>
                </c:pt>
                <c:pt idx="332">
                  <c:v>146.05721412791499</c:v>
                </c:pt>
                <c:pt idx="333">
                  <c:v>145.48447712711479</c:v>
                </c:pt>
                <c:pt idx="334">
                  <c:v>144.90551915621106</c:v>
                </c:pt>
                <c:pt idx="335">
                  <c:v>144.3205800858988</c:v>
                </c:pt>
                <c:pt idx="336">
                  <c:v>143.72991112409989</c:v>
                </c:pt>
                <c:pt idx="337">
                  <c:v>143.13377454273675</c:v>
                </c:pt>
                <c:pt idx="338">
                  <c:v>142.5324433475437</c:v>
                </c:pt>
                <c:pt idx="339">
                  <c:v>141.92620089078758</c:v>
                </c:pt>
                <c:pt idx="340">
                  <c:v>141.31534042727787</c:v>
                </c:pt>
                <c:pt idx="341">
                  <c:v>140.70016461455378</c:v>
                </c:pt>
                <c:pt idx="342">
                  <c:v>140.08098495866579</c:v>
                </c:pt>
                <c:pt idx="343">
                  <c:v>139.4581212075023</c:v>
                </c:pt>
                <c:pt idx="344">
                  <c:v>138.83190069414226</c:v>
                </c:pt>
                <c:pt idx="345">
                  <c:v>138.20265763323621</c:v>
                </c:pt>
                <c:pt idx="346">
                  <c:v>137.57073237392478</c:v>
                </c:pt>
                <c:pt idx="347">
                  <c:v>136.93647061327601</c:v>
                </c:pt>
                <c:pt idx="348">
                  <c:v>136.30022257466459</c:v>
                </c:pt>
                <c:pt idx="349">
                  <c:v>135.66234215591942</c:v>
                </c:pt>
                <c:pt idx="350">
                  <c:v>135.02318605241052</c:v>
                </c:pt>
                <c:pt idx="351">
                  <c:v>134.38311286053687</c:v>
                </c:pt>
                <c:pt idx="352">
                  <c:v>133.74248216731269</c:v>
                </c:pt>
                <c:pt idx="353">
                  <c:v>133.10165363191598</c:v>
                </c:pt>
                <c:pt idx="354">
                  <c:v>132.46098606513473</c:v>
                </c:pt>
                <c:pt idx="355">
                  <c:v>131.82083651271589</c:v>
                </c:pt>
                <c:pt idx="356">
                  <c:v>131.18155934852064</c:v>
                </c:pt>
                <c:pt idx="357">
                  <c:v>130.54350538331218</c:v>
                </c:pt>
                <c:pt idx="358">
                  <c:v>129.9070209947939</c:v>
                </c:pt>
                <c:pt idx="359">
                  <c:v>129.27244728426996</c:v>
                </c:pt>
                <c:pt idx="360">
                  <c:v>128.6401192649829</c:v>
                </c:pt>
                <c:pt idx="361">
                  <c:v>128.01036508683308</c:v>
                </c:pt>
                <c:pt idx="362">
                  <c:v>127.3835053017422</c:v>
                </c:pt>
                <c:pt idx="363">
                  <c:v>126.75985217349573</c:v>
                </c:pt>
                <c:pt idx="364">
                  <c:v>126.13970903539654</c:v>
                </c:pt>
                <c:pt idx="365">
                  <c:v>125.52336969856185</c:v>
                </c:pt>
                <c:pt idx="366">
                  <c:v>124.91111791315387</c:v>
                </c:pt>
                <c:pt idx="367">
                  <c:v>124.30322688432449</c:v>
                </c:pt>
                <c:pt idx="368">
                  <c:v>123.69995884409758</c:v>
                </c:pt>
                <c:pt idx="369">
                  <c:v>123.10156467991013</c:v>
                </c:pt>
                <c:pt idx="370">
                  <c:v>122.50828362000961</c:v>
                </c:pt>
                <c:pt idx="371">
                  <c:v>121.92034297543154</c:v>
                </c:pt>
                <c:pt idx="372">
                  <c:v>121.33795793781255</c:v>
                </c:pt>
                <c:pt idx="373">
                  <c:v>120.76133143188262</c:v>
                </c:pt>
                <c:pt idx="374">
                  <c:v>120.19065402107761</c:v>
                </c:pt>
                <c:pt idx="375">
                  <c:v>119.62610386437767</c:v>
                </c:pt>
                <c:pt idx="376">
                  <c:v>119.06784672216011</c:v>
                </c:pt>
                <c:pt idx="377">
                  <c:v>118.51603600860099</c:v>
                </c:pt>
                <c:pt idx="378">
                  <c:v>117.97081288792812</c:v>
                </c:pt>
                <c:pt idx="379">
                  <c:v>117.43230641166564</c:v>
                </c:pt>
                <c:pt idx="380">
                  <c:v>116.90063369385871</c:v>
                </c:pt>
                <c:pt idx="381">
                  <c:v>116.37590012118739</c:v>
                </c:pt>
                <c:pt idx="382">
                  <c:v>115.85819959481181</c:v>
                </c:pt>
                <c:pt idx="383">
                  <c:v>115.34761480077296</c:v>
                </c:pt>
                <c:pt idx="384">
                  <c:v>114.84421750579146</c:v>
                </c:pt>
                <c:pt idx="385">
                  <c:v>114.3480688753376</c:v>
                </c:pt>
                <c:pt idx="386">
                  <c:v>113.85921981092584</c:v>
                </c:pt>
                <c:pt idx="387">
                  <c:v>113.3777113036697</c:v>
                </c:pt>
                <c:pt idx="388">
                  <c:v>112.90357480125111</c:v>
                </c:pt>
                <c:pt idx="389">
                  <c:v>112.43683258558349</c:v>
                </c:pt>
                <c:pt idx="390">
                  <c:v>111.97749815858872</c:v>
                </c:pt>
                <c:pt idx="391">
                  <c:v>111.52557663366413</c:v>
                </c:pt>
                <c:pt idx="392">
                  <c:v>111.08106513057034</c:v>
                </c:pt>
                <c:pt idx="393">
                  <c:v>110.64395317164109</c:v>
                </c:pt>
                <c:pt idx="394">
                  <c:v>110.21422307737879</c:v>
                </c:pt>
                <c:pt idx="395">
                  <c:v>109.79185035967097</c:v>
                </c:pt>
                <c:pt idx="396">
                  <c:v>109.37680411102825</c:v>
                </c:pt>
                <c:pt idx="397">
                  <c:v>108.96904738840803</c:v>
                </c:pt>
                <c:pt idx="398">
                  <c:v>108.56853759034759</c:v>
                </c:pt>
                <c:pt idx="399">
                  <c:v>108.17522682628191</c:v>
                </c:pt>
                <c:pt idx="400">
                  <c:v>107.78906227707614</c:v>
                </c:pt>
                <c:pt idx="401">
                  <c:v>107.40998654592877</c:v>
                </c:pt>
                <c:pt idx="402">
                  <c:v>107.03793799894956</c:v>
                </c:pt>
                <c:pt idx="403">
                  <c:v>106.67285109482755</c:v>
                </c:pt>
                <c:pt idx="404">
                  <c:v>106.31465670312386</c:v>
                </c:pt>
                <c:pt idx="405">
                  <c:v>105.96328241083451</c:v>
                </c:pt>
                <c:pt idx="406">
                  <c:v>105.61865281696005</c:v>
                </c:pt>
                <c:pt idx="407">
                  <c:v>105.28068981491097</c:v>
                </c:pt>
                <c:pt idx="408">
                  <c:v>104.94931286266127</c:v>
                </c:pt>
                <c:pt idx="409">
                  <c:v>104.62443924063075</c:v>
                </c:pt>
                <c:pt idx="410">
                  <c:v>104.3059842973466</c:v>
                </c:pt>
                <c:pt idx="411">
                  <c:v>103.99386168298996</c:v>
                </c:pt>
                <c:pt idx="412">
                  <c:v>103.68798357098534</c:v>
                </c:pt>
                <c:pt idx="413">
                  <c:v>103.38826086783335</c:v>
                </c:pt>
                <c:pt idx="414">
                  <c:v>103.09460341142869</c:v>
                </c:pt>
                <c:pt idx="415">
                  <c:v>102.80692015813425</c:v>
                </c:pt>
                <c:pt idx="416">
                  <c:v>102.52511935891144</c:v>
                </c:pt>
                <c:pt idx="417">
                  <c:v>102.24910872482877</c:v>
                </c:pt>
                <c:pt idx="418">
                  <c:v>101.97879558228856</c:v>
                </c:pt>
                <c:pt idx="419">
                  <c:v>101.71408701832419</c:v>
                </c:pt>
                <c:pt idx="420">
                  <c:v>101.45489001633354</c:v>
                </c:pt>
                <c:pt idx="421">
                  <c:v>101.2011115826178</c:v>
                </c:pt>
                <c:pt idx="422">
                  <c:v>100.95265886410162</c:v>
                </c:pt>
                <c:pt idx="423">
                  <c:v>100.70943925760862</c:v>
                </c:pt>
                <c:pt idx="424">
                  <c:v>100.47136051107066</c:v>
                </c:pt>
                <c:pt idx="425">
                  <c:v>100.23833081703999</c:v>
                </c:pt>
                <c:pt idx="426">
                  <c:v>100.01025889887369</c:v>
                </c:pt>
                <c:pt idx="427">
                  <c:v>99.787054089953131</c:v>
                </c:pt>
                <c:pt idx="428">
                  <c:v>99.568626406290051</c:v>
                </c:pt>
                <c:pt idx="429">
                  <c:v>99.354886612867276</c:v>
                </c:pt>
                <c:pt idx="430">
                  <c:v>99.145746284050517</c:v>
                </c:pt>
                <c:pt idx="431">
                  <c:v>98.941117858397547</c:v>
                </c:pt>
                <c:pt idx="432">
                  <c:v>98.740914688181576</c:v>
                </c:pt>
                <c:pt idx="433">
                  <c:v>98.545051083933089</c:v>
                </c:pt>
                <c:pt idx="434">
                  <c:v>98.353442354295865</c:v>
                </c:pt>
                <c:pt idx="435">
                  <c:v>98.166004841478795</c:v>
                </c:pt>
                <c:pt idx="436">
                  <c:v>97.982655952575172</c:v>
                </c:pt>
                <c:pt idx="437">
                  <c:v>97.803314187008809</c:v>
                </c:pt>
                <c:pt idx="438">
                  <c:v>97.62789916035598</c:v>
                </c:pt>
                <c:pt idx="439">
                  <c:v>97.456331624779679</c:v>
                </c:pt>
                <c:pt idx="440">
                  <c:v>97.288533486301702</c:v>
                </c:pt>
                <c:pt idx="441">
                  <c:v>97.124427819128115</c:v>
                </c:pt>
                <c:pt idx="442">
                  <c:v>96.963938877231385</c:v>
                </c:pt>
                <c:pt idx="443">
                  <c:v>96.806992103383564</c:v>
                </c:pt>
                <c:pt idx="444">
                  <c:v>96.653514135823784</c:v>
                </c:pt>
                <c:pt idx="445">
                  <c:v>96.503432812733124</c:v>
                </c:pt>
                <c:pt idx="446">
                  <c:v>96.356677174682389</c:v>
                </c:pt>
                <c:pt idx="447">
                  <c:v>96.213177465206655</c:v>
                </c:pt>
                <c:pt idx="448">
                  <c:v>96.072865129653437</c:v>
                </c:pt>
                <c:pt idx="449">
                  <c:v>95.935672812442263</c:v>
                </c:pt>
                <c:pt idx="450">
                  <c:v>95.801534352865346</c:v>
                </c:pt>
                <c:pt idx="451">
                  <c:v>95.670384779551</c:v>
                </c:pt>
                <c:pt idx="452">
                  <c:v>95.542160303705387</c:v>
                </c:pt>
                <c:pt idx="453">
                  <c:v>95.416798311239205</c:v>
                </c:pt>
                <c:pt idx="454">
                  <c:v>95.294237353879936</c:v>
                </c:pt>
                <c:pt idx="455">
                  <c:v>95.174417139365758</c:v>
                </c:pt>
                <c:pt idx="456">
                  <c:v>95.057278520807913</c:v>
                </c:pt>
                <c:pt idx="457">
                  <c:v>94.942763485304724</c:v>
                </c:pt>
                <c:pt idx="458">
                  <c:v>94.830815141884713</c:v>
                </c:pt>
                <c:pt idx="459">
                  <c:v>94.721377708850738</c:v>
                </c:pt>
                <c:pt idx="460">
                  <c:v>94.614396500591909</c:v>
                </c:pt>
                <c:pt idx="461">
                  <c:v>94.509817913927066</c:v>
                </c:pt>
                <c:pt idx="462">
                  <c:v>94.407589414036721</c:v>
                </c:pt>
                <c:pt idx="463">
                  <c:v>94.307659520037987</c:v>
                </c:pt>
                <c:pt idx="464">
                  <c:v>94.209977790253475</c:v>
                </c:pt>
                <c:pt idx="465">
                  <c:v>94.114494807220055</c:v>
                </c:pt>
                <c:pt idx="466">
                  <c:v>94.021162162480621</c:v>
                </c:pt>
                <c:pt idx="467">
                  <c:v>93.929932441199824</c:v>
                </c:pt>
                <c:pt idx="468">
                  <c:v>93.840759206638978</c:v>
                </c:pt>
                <c:pt idx="469">
                  <c:v>93.753596984526851</c:v>
                </c:pt>
                <c:pt idx="470">
                  <c:v>93.668401247355035</c:v>
                </c:pt>
                <c:pt idx="471">
                  <c:v>93.585128398628925</c:v>
                </c:pt>
                <c:pt idx="472">
                  <c:v>93.503735757100117</c:v>
                </c:pt>
                <c:pt idx="473">
                  <c:v>93.424181541004884</c:v>
                </c:pt>
                <c:pt idx="474">
                  <c:v>93.346424852330856</c:v>
                </c:pt>
                <c:pt idx="475">
                  <c:v>93.270425661133103</c:v>
                </c:pt>
                <c:pt idx="476">
                  <c:v>93.196144789917383</c:v>
                </c:pt>
                <c:pt idx="477">
                  <c:v>93.123543898108807</c:v>
                </c:pt>
                <c:pt idx="478">
                  <c:v>93.052585466620258</c:v>
                </c:pt>
                <c:pt idx="479">
                  <c:v>92.983232782535424</c:v>
                </c:pt>
                <c:pt idx="480">
                  <c:v>92.915449923918757</c:v>
                </c:pt>
                <c:pt idx="481">
                  <c:v>92.849201744764045</c:v>
                </c:pt>
                <c:pt idx="482">
                  <c:v>92.784453860091688</c:v>
                </c:pt>
                <c:pt idx="483">
                  <c:v>92.721172631204013</c:v>
                </c:pt>
                <c:pt idx="484">
                  <c:v>92.659325151106742</c:v>
                </c:pt>
                <c:pt idx="485">
                  <c:v>92.598879230103748</c:v>
                </c:pt>
                <c:pt idx="486">
                  <c:v>92.539803381571957</c:v>
                </c:pt>
                <c:pt idx="487">
                  <c:v>92.482066807921015</c:v>
                </c:pt>
                <c:pt idx="488">
                  <c:v>92.42563938674374</c:v>
                </c:pt>
                <c:pt idx="489">
                  <c:v>92.370491657160443</c:v>
                </c:pt>
                <c:pt idx="490">
                  <c:v>92.316594806361309</c:v>
                </c:pt>
                <c:pt idx="491">
                  <c:v>92.263920656349285</c:v>
                </c:pt>
                <c:pt idx="492">
                  <c:v>92.212441650886063</c:v>
                </c:pt>
                <c:pt idx="493">
                  <c:v>92.162130842643037</c:v>
                </c:pt>
                <c:pt idx="494">
                  <c:v>92.112961880558558</c:v>
                </c:pt>
                <c:pt idx="495">
                  <c:v>92.064908997402298</c:v>
                </c:pt>
                <c:pt idx="496">
                  <c:v>92.017946997547597</c:v>
                </c:pt>
                <c:pt idx="497">
                  <c:v>91.972051244951757</c:v>
                </c:pt>
                <c:pt idx="498">
                  <c:v>91.9271976513444</c:v>
                </c:pt>
                <c:pt idx="499">
                  <c:v>91.883362664623235</c:v>
                </c:pt>
                <c:pt idx="500">
                  <c:v>91.84052325745678</c:v>
                </c:pt>
                <c:pt idx="501">
                  <c:v>91.798656916092938</c:v>
                </c:pt>
                <c:pt idx="502">
                  <c:v>91.757741629372362</c:v>
                </c:pt>
                <c:pt idx="503">
                  <c:v>91.717755877945223</c:v>
                </c:pt>
                <c:pt idx="504">
                  <c:v>91.678678623689848</c:v>
                </c:pt>
                <c:pt idx="505">
                  <c:v>91.640489299331563</c:v>
                </c:pt>
                <c:pt idx="506">
                  <c:v>91.603167798259591</c:v>
                </c:pt>
                <c:pt idx="507">
                  <c:v>91.566694464540561</c:v>
                </c:pt>
                <c:pt idx="508">
                  <c:v>91.531050083125876</c:v>
                </c:pt>
                <c:pt idx="509">
                  <c:v>91.496215870251291</c:v>
                </c:pt>
                <c:pt idx="510">
                  <c:v>91.462173464025824</c:v>
                </c:pt>
                <c:pt idx="511">
                  <c:v>91.428904915208165</c:v>
                </c:pt>
                <c:pt idx="512">
                  <c:v>91.396392678167658</c:v>
                </c:pt>
                <c:pt idx="513">
                  <c:v>91.364619602027545</c:v>
                </c:pt>
                <c:pt idx="514">
                  <c:v>91.333568921987847</c:v>
                </c:pt>
                <c:pt idx="515">
                  <c:v>91.303224250825195</c:v>
                </c:pt>
                <c:pt idx="516">
                  <c:v>91.273569570567076</c:v>
                </c:pt>
                <c:pt idx="517">
                  <c:v>91.244589224337631</c:v>
                </c:pt>
                <c:pt idx="518">
                  <c:v>91.216267908372402</c:v>
                </c:pt>
                <c:pt idx="519">
                  <c:v>91.188590664199268</c:v>
                </c:pt>
                <c:pt idx="520">
                  <c:v>91.1615428709827</c:v>
                </c:pt>
                <c:pt idx="521">
                  <c:v>91.135110238028872</c:v>
                </c:pt>
                <c:pt idx="522">
                  <c:v>91.109278797448525</c:v>
                </c:pt>
                <c:pt idx="523">
                  <c:v>91.084034896975226</c:v>
                </c:pt>
                <c:pt idx="524">
                  <c:v>91.059365192935644</c:v>
                </c:pt>
                <c:pt idx="525">
                  <c:v>91.035256643370005</c:v>
                </c:pt>
                <c:pt idx="526">
                  <c:v>91.011696501299141</c:v>
                </c:pt>
                <c:pt idx="527">
                  <c:v>90.988672308136032</c:v>
                </c:pt>
                <c:pt idx="528">
                  <c:v>90.966171887238815</c:v>
                </c:pt>
                <c:pt idx="529">
                  <c:v>90.944183337602652</c:v>
                </c:pt>
                <c:pt idx="530">
                  <c:v>90.922695027688079</c:v>
                </c:pt>
                <c:pt idx="531">
                  <c:v>90.90169558938274</c:v>
                </c:pt>
                <c:pt idx="532">
                  <c:v>90.881173912094525</c:v>
                </c:pt>
                <c:pt idx="533">
                  <c:v>90.861119136972818</c:v>
                </c:pt>
                <c:pt idx="534">
                  <c:v>90.841520651256104</c:v>
                </c:pt>
                <c:pt idx="535">
                  <c:v>90.822368082742784</c:v>
                </c:pt>
                <c:pt idx="536">
                  <c:v>90.803651294383201</c:v>
                </c:pt>
                <c:pt idx="537">
                  <c:v>90.785360378990148</c:v>
                </c:pt>
                <c:pt idx="538">
                  <c:v>90.76748565406551</c:v>
                </c:pt>
                <c:pt idx="539">
                  <c:v>90.750017656740908</c:v>
                </c:pt>
                <c:pt idx="540">
                  <c:v>90.732947138829715</c:v>
                </c:pt>
                <c:pt idx="541">
                  <c:v>90.716265061988224</c:v>
                </c:pt>
              </c:numCache>
            </c:numRef>
          </c:yVal>
          <c:smooth val="1"/>
          <c:extLst>
            <c:ext xmlns:c16="http://schemas.microsoft.com/office/drawing/2014/chart" uri="{C3380CC4-5D6E-409C-BE32-E72D297353CC}">
              <c16:uniqueId val="{00000001-0B5D-4E78-BD48-CC54C4E43363}"/>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78.363025080028464</c:v>
                </c:pt>
                <c:pt idx="1">
                  <c:v>78.120746346465268</c:v>
                </c:pt>
                <c:pt idx="2">
                  <c:v>77.876913734360983</c:v>
                </c:pt>
                <c:pt idx="3">
                  <c:v>77.631486696391676</c:v>
                </c:pt>
                <c:pt idx="4">
                  <c:v>77.384424836833389</c:v>
                </c:pt>
                <c:pt idx="5">
                  <c:v>77.13568800756336</c:v>
                </c:pt>
                <c:pt idx="6">
                  <c:v>76.885236408034814</c:v>
                </c:pt>
                <c:pt idx="7">
                  <c:v>76.633030688884119</c:v>
                </c:pt>
                <c:pt idx="8">
                  <c:v>76.379032058777213</c:v>
                </c:pt>
                <c:pt idx="9">
                  <c:v>76.123202394048491</c:v>
                </c:pt>
                <c:pt idx="10">
                  <c:v>75.865504350634879</c:v>
                </c:pt>
                <c:pt idx="11">
                  <c:v>75.605901477756689</c:v>
                </c:pt>
                <c:pt idx="12">
                  <c:v>75.344358332750986</c:v>
                </c:pt>
                <c:pt idx="13">
                  <c:v>75.080840596417502</c:v>
                </c:pt>
                <c:pt idx="14">
                  <c:v>74.815315188201083</c:v>
                </c:pt>
                <c:pt idx="15">
                  <c:v>74.547750380499053</c:v>
                </c:pt>
                <c:pt idx="16">
                  <c:v>74.278115911354732</c:v>
                </c:pt>
                <c:pt idx="17">
                  <c:v>74.006383094778585</c:v>
                </c:pt>
                <c:pt idx="18">
                  <c:v>73.732524927927585</c:v>
                </c:pt>
                <c:pt idx="19">
                  <c:v>73.456516194365577</c:v>
                </c:pt>
                <c:pt idx="20">
                  <c:v>73.178333562638016</c:v>
                </c:pt>
                <c:pt idx="21">
                  <c:v>72.897955679403296</c:v>
                </c:pt>
                <c:pt idx="22">
                  <c:v>72.615363256392513</c:v>
                </c:pt>
                <c:pt idx="23">
                  <c:v>72.330539150497216</c:v>
                </c:pt>
                <c:pt idx="24">
                  <c:v>72.04346843633401</c:v>
                </c:pt>
                <c:pt idx="25">
                  <c:v>71.754138470681582</c:v>
                </c:pt>
                <c:pt idx="26">
                  <c:v>71.462538948250341</c:v>
                </c:pt>
                <c:pt idx="27">
                  <c:v>71.168661948311808</c:v>
                </c:pt>
                <c:pt idx="28">
                  <c:v>70.872501971790612</c:v>
                </c:pt>
                <c:pt idx="29">
                  <c:v>70.574055968505036</c:v>
                </c:pt>
                <c:pt idx="30">
                  <c:v>70.273323354326081</c:v>
                </c:pt>
                <c:pt idx="31">
                  <c:v>69.970306018117839</c:v>
                </c:pt>
                <c:pt idx="32">
                  <c:v>69.665008318412546</c:v>
                </c:pt>
                <c:pt idx="33">
                  <c:v>69.357437069866251</c:v>
                </c:pt>
                <c:pt idx="34">
                  <c:v>69.047601519635265</c:v>
                </c:pt>
                <c:pt idx="35">
                  <c:v>68.735513313901919</c:v>
                </c:pt>
                <c:pt idx="36">
                  <c:v>68.421186454865875</c:v>
                </c:pt>
                <c:pt idx="37">
                  <c:v>68.104637248598735</c:v>
                </c:pt>
                <c:pt idx="38">
                  <c:v>67.785884244236485</c:v>
                </c:pt>
                <c:pt idx="39">
                  <c:v>67.464948165053698</c:v>
                </c:pt>
                <c:pt idx="40">
                  <c:v>67.141851832022738</c:v>
                </c:pt>
                <c:pt idx="41">
                  <c:v>66.81662008051677</c:v>
                </c:pt>
                <c:pt idx="42">
                  <c:v>66.489279670857925</c:v>
                </c:pt>
                <c:pt idx="43">
                  <c:v>66.159859193444973</c:v>
                </c:pt>
                <c:pt idx="44">
                  <c:v>65.828388969222559</c:v>
                </c:pt>
                <c:pt idx="45">
                  <c:v>65.494900946264863</c:v>
                </c:pt>
                <c:pt idx="46">
                  <c:v>65.159428593258312</c:v>
                </c:pt>
                <c:pt idx="47">
                  <c:v>64.82200679065771</c:v>
                </c:pt>
                <c:pt idx="48">
                  <c:v>64.482671720284387</c:v>
                </c:pt>
                <c:pt idx="49">
                  <c:v>64.141460754112686</c:v>
                </c:pt>
                <c:pt idx="50">
                  <c:v>63.798412342963402</c:v>
                </c:pt>
                <c:pt idx="51">
                  <c:v>63.453565905792793</c:v>
                </c:pt>
                <c:pt idx="52">
                  <c:v>63.106961720224099</c:v>
                </c:pt>
                <c:pt idx="53">
                  <c:v>62.758640814926395</c:v>
                </c:pt>
                <c:pt idx="54">
                  <c:v>62.408644864401182</c:v>
                </c:pt>
                <c:pt idx="55">
                  <c:v>62.057016086682694</c:v>
                </c:pt>
                <c:pt idx="56">
                  <c:v>61.703797144410437</c:v>
                </c:pt>
                <c:pt idx="57">
                  <c:v>61.349031049678302</c:v>
                </c:pt>
                <c:pt idx="58">
                  <c:v>60.992761073011941</c:v>
                </c:pt>
                <c:pt idx="59">
                  <c:v>60.635030656773253</c:v>
                </c:pt>
                <c:pt idx="60">
                  <c:v>60.27588333324006</c:v>
                </c:pt>
                <c:pt idx="61">
                  <c:v>59.915362647558624</c:v>
                </c:pt>
                <c:pt idx="62">
                  <c:v>59.553512085719774</c:v>
                </c:pt>
                <c:pt idx="63">
                  <c:v>59.190375007663228</c:v>
                </c:pt>
                <c:pt idx="64">
                  <c:v>58.825994585573476</c:v>
                </c:pt>
                <c:pt idx="65">
                  <c:v>58.460413747390049</c:v>
                </c:pt>
                <c:pt idx="66">
                  <c:v>58.093675125521258</c:v>
                </c:pt>
                <c:pt idx="67">
                  <c:v>57.725821010713943</c:v>
                </c:pt>
                <c:pt idx="68">
                  <c:v>57.356893311007646</c:v>
                </c:pt>
                <c:pt idx="69">
                  <c:v>56.986933515671588</c:v>
                </c:pt>
                <c:pt idx="70">
                  <c:v>56.615982664001308</c:v>
                </c:pt>
                <c:pt idx="71">
                  <c:v>56.244081318835519</c:v>
                </c:pt>
                <c:pt idx="72">
                  <c:v>55.871269544632234</c:v>
                </c:pt>
                <c:pt idx="73">
                  <c:v>55.4975868899351</c:v>
                </c:pt>
                <c:pt idx="74">
                  <c:v>55.123072374046991</c:v>
                </c:pt>
                <c:pt idx="75">
                  <c:v>54.747764477721546</c:v>
                </c:pt>
                <c:pt idx="76">
                  <c:v>54.371701137678102</c:v>
                </c:pt>
                <c:pt idx="77">
                  <c:v>53.994919744739036</c:v>
                </c:pt>
                <c:pt idx="78">
                  <c:v>53.617457145391747</c:v>
                </c:pt>
                <c:pt idx="79">
                  <c:v>53.239349646572826</c:v>
                </c:pt>
                <c:pt idx="80">
                  <c:v>52.860633023476723</c:v>
                </c:pt>
                <c:pt idx="81">
                  <c:v>52.481342530192514</c:v>
                </c:pt>
                <c:pt idx="82">
                  <c:v>52.101512912975565</c:v>
                </c:pt>
                <c:pt idx="83">
                  <c:v>51.721178425968397</c:v>
                </c:pt>
                <c:pt idx="84">
                  <c:v>51.340372849186167</c:v>
                </c:pt>
                <c:pt idx="85">
                  <c:v>50.959129508592696</c:v>
                </c:pt>
                <c:pt idx="86">
                  <c:v>50.577481298094405</c:v>
                </c:pt>
                <c:pt idx="87">
                  <c:v>50.1954607032905</c:v>
                </c:pt>
                <c:pt idx="88">
                  <c:v>49.813099826820689</c:v>
                </c:pt>
                <c:pt idx="89">
                  <c:v>49.430430415161418</c:v>
                </c:pt>
                <c:pt idx="90">
                  <c:v>49.04748388672337</c:v>
                </c:pt>
                <c:pt idx="91">
                  <c:v>48.66429136111573</c:v>
                </c:pt>
                <c:pt idx="92">
                  <c:v>48.280883689442113</c:v>
                </c:pt>
                <c:pt idx="93">
                  <c:v>47.897291485501853</c:v>
                </c:pt>
                <c:pt idx="94">
                  <c:v>47.513545157775567</c:v>
                </c:pt>
                <c:pt idx="95">
                  <c:v>47.129674942077671</c:v>
                </c:pt>
                <c:pt idx="96">
                  <c:v>46.745710934760766</c:v>
                </c:pt>
                <c:pt idx="97">
                  <c:v>46.361683126364497</c:v>
                </c:pt>
                <c:pt idx="98">
                  <c:v>45.977621435599033</c:v>
                </c:pt>
                <c:pt idx="99">
                  <c:v>45.593555743560863</c:v>
                </c:pt>
                <c:pt idx="100">
                  <c:v>45.209515928074843</c:v>
                </c:pt>
                <c:pt idx="101">
                  <c:v>44.825531898061371</c:v>
                </c:pt>
                <c:pt idx="102">
                  <c:v>44.441633627825908</c:v>
                </c:pt>
                <c:pt idx="103">
                  <c:v>44.057851191166222</c:v>
                </c:pt>
                <c:pt idx="104">
                  <c:v>43.674214795195525</c:v>
                </c:pt>
                <c:pt idx="105">
                  <c:v>43.290754813772871</c:v>
                </c:pt>
                <c:pt idx="106">
                  <c:v>42.907501820433126</c:v>
                </c:pt>
                <c:pt idx="107">
                  <c:v>42.52448662070482</c:v>
                </c:pt>
                <c:pt idx="108">
                  <c:v>42.141740283700003</c:v>
                </c:pt>
                <c:pt idx="109">
                  <c:v>41.759294172855093</c:v>
                </c:pt>
                <c:pt idx="110">
                  <c:v>41.377179975699512</c:v>
                </c:pt>
                <c:pt idx="111">
                  <c:v>40.995429732521316</c:v>
                </c:pt>
                <c:pt idx="112">
                  <c:v>40.614075863793595</c:v>
                </c:pt>
                <c:pt idx="113">
                  <c:v>40.233151196220675</c:v>
                </c:pt>
                <c:pt idx="114">
                  <c:v>39.852688987255782</c:v>
                </c:pt>
                <c:pt idx="115">
                  <c:v>39.472722947934514</c:v>
                </c:pt>
                <c:pt idx="116">
                  <c:v>39.093287263865918</c:v>
                </c:pt>
                <c:pt idx="117">
                  <c:v>38.71441661421018</c:v>
                </c:pt>
                <c:pt idx="118">
                  <c:v>38.336146188471922</c:v>
                </c:pt>
                <c:pt idx="119">
                  <c:v>37.958511700927907</c:v>
                </c:pt>
                <c:pt idx="120">
                  <c:v>37.581549402504734</c:v>
                </c:pt>
                <c:pt idx="121">
                  <c:v>37.205296089915315</c:v>
                </c:pt>
                <c:pt idx="122">
                  <c:v>36.829789111861274</c:v>
                </c:pt>
                <c:pt idx="123">
                  <c:v>36.455066372102714</c:v>
                </c:pt>
                <c:pt idx="124">
                  <c:v>36.081166329196478</c:v>
                </c:pt>
                <c:pt idx="125">
                  <c:v>35.708127992703488</c:v>
                </c:pt>
                <c:pt idx="126">
                  <c:v>35.335990915664716</c:v>
                </c:pt>
                <c:pt idx="127">
                  <c:v>34.964795183152205</c:v>
                </c:pt>
                <c:pt idx="128">
                  <c:v>34.594581396702083</c:v>
                </c:pt>
                <c:pt idx="129">
                  <c:v>34.225390654445448</c:v>
                </c:pt>
                <c:pt idx="130">
                  <c:v>33.857264526764951</c:v>
                </c:pt>
                <c:pt idx="131">
                  <c:v>33.490245027311843</c:v>
                </c:pt>
                <c:pt idx="132">
                  <c:v>33.124374579239436</c:v>
                </c:pt>
                <c:pt idx="133">
                  <c:v>32.759695976521513</c:v>
                </c:pt>
                <c:pt idx="134">
                  <c:v>32.396252340250754</c:v>
                </c:pt>
                <c:pt idx="135">
                  <c:v>32.034087069832722</c:v>
                </c:pt>
                <c:pt idx="136">
                  <c:v>31.673243789021029</c:v>
                </c:pt>
                <c:pt idx="137">
                  <c:v>31.313766286771351</c:v>
                </c:pt>
                <c:pt idx="138">
                  <c:v>30.955698452924729</c:v>
                </c:pt>
                <c:pt idx="139">
                  <c:v>30.599084208770847</c:v>
                </c:pt>
                <c:pt idx="140">
                  <c:v>30.243967432581943</c:v>
                </c:pt>
                <c:pt idx="141">
                  <c:v>29.890391880252292</c:v>
                </c:pt>
                <c:pt idx="142">
                  <c:v>29.538401101226711</c:v>
                </c:pt>
                <c:pt idx="143">
                  <c:v>29.188038349948407</c:v>
                </c:pt>
                <c:pt idx="144">
                  <c:v>28.839346493108408</c:v>
                </c:pt>
                <c:pt idx="145">
                  <c:v>28.492367913031664</c:v>
                </c:pt>
                <c:pt idx="146">
                  <c:v>28.14714440758771</c:v>
                </c:pt>
                <c:pt idx="147">
                  <c:v>27.803717087064811</c:v>
                </c:pt>
                <c:pt idx="148">
                  <c:v>27.462126268501304</c:v>
                </c:pt>
                <c:pt idx="149">
                  <c:v>27.122411368016529</c:v>
                </c:pt>
                <c:pt idx="150">
                  <c:v>26.7846107917326</c:v>
                </c:pt>
                <c:pt idx="151">
                  <c:v>26.448761825922151</c:v>
                </c:pt>
                <c:pt idx="152">
                  <c:v>26.114900527059014</c:v>
                </c:pt>
                <c:pt idx="153">
                  <c:v>25.783061612481642</c:v>
                </c:pt>
                <c:pt idx="154">
                  <c:v>25.453278352412596</c:v>
                </c:pt>
                <c:pt idx="155">
                  <c:v>25.125582464093554</c:v>
                </c:pt>
                <c:pt idx="156">
                  <c:v>24.8000040088167</c:v>
                </c:pt>
                <c:pt idx="157">
                  <c:v>24.47657129263472</c:v>
                </c:pt>
                <c:pt idx="158">
                  <c:v>24.155310771532278</c:v>
                </c:pt>
                <c:pt idx="159">
                  <c:v>23.836246961828781</c:v>
                </c:pt>
                <c:pt idx="160">
                  <c:v>23.519402356561297</c:v>
                </c:pt>
                <c:pt idx="161">
                  <c:v>23.204797348567293</c:v>
                </c:pt>
                <c:pt idx="162">
                  <c:v>22.892450160943095</c:v>
                </c:pt>
                <c:pt idx="163">
                  <c:v>22.582376785509819</c:v>
                </c:pt>
                <c:pt idx="164">
                  <c:v>22.274590929854657</c:v>
                </c:pt>
                <c:pt idx="165">
                  <c:v>21.969103973453493</c:v>
                </c:pt>
                <c:pt idx="166">
                  <c:v>21.665924933305043</c:v>
                </c:pt>
                <c:pt idx="167">
                  <c:v>21.365060439426735</c:v>
                </c:pt>
                <c:pt idx="168">
                  <c:v>21.066514720479379</c:v>
                </c:pt>
                <c:pt idx="169">
                  <c:v>20.770289599696138</c:v>
                </c:pt>
                <c:pt idx="170">
                  <c:v>20.476384501201615</c:v>
                </c:pt>
                <c:pt idx="171">
                  <c:v>20.184796466713685</c:v>
                </c:pt>
                <c:pt idx="172">
                  <c:v>19.895520182527839</c:v>
                </c:pt>
                <c:pt idx="173">
                  <c:v>19.608548016593016</c:v>
                </c:pt>
                <c:pt idx="174">
                  <c:v>19.323870065400989</c:v>
                </c:pt>
                <c:pt idx="175">
                  <c:v>19.041474210326864</c:v>
                </c:pt>
                <c:pt idx="176">
                  <c:v>18.761346182980922</c:v>
                </c:pt>
                <c:pt idx="177">
                  <c:v>18.483469639061486</c:v>
                </c:pt>
                <c:pt idx="178">
                  <c:v>18.207826240133343</c:v>
                </c:pt>
                <c:pt idx="179">
                  <c:v>17.934395742702293</c:v>
                </c:pt>
                <c:pt idx="180">
                  <c:v>17.663156093911219</c:v>
                </c:pt>
                <c:pt idx="181">
                  <c:v>17.394083533142158</c:v>
                </c:pt>
                <c:pt idx="182">
                  <c:v>17.127152698786322</c:v>
                </c:pt>
                <c:pt idx="183">
                  <c:v>16.862336739423519</c:v>
                </c:pt>
                <c:pt idx="184">
                  <c:v>16.599607428643711</c:v>
                </c:pt>
                <c:pt idx="185">
                  <c:v>16.338935282746021</c:v>
                </c:pt>
                <c:pt idx="186">
                  <c:v>16.080289680558955</c:v>
                </c:pt>
                <c:pt idx="187">
                  <c:v>15.823638984643173</c:v>
                </c:pt>
                <c:pt idx="188">
                  <c:v>15.568950663161766</c:v>
                </c:pt>
                <c:pt idx="189">
                  <c:v>15.316191411738307</c:v>
                </c:pt>
                <c:pt idx="190">
                  <c:v>15.06532727465453</c:v>
                </c:pt>
                <c:pt idx="191">
                  <c:v>14.816323764786778</c:v>
                </c:pt>
                <c:pt idx="192">
                  <c:v>14.569145981722148</c:v>
                </c:pt>
                <c:pt idx="193">
                  <c:v>14.323758727547411</c:v>
                </c:pt>
                <c:pt idx="194">
                  <c:v>14.080126619852374</c:v>
                </c:pt>
                <c:pt idx="195">
                  <c:v>13.838214201543067</c:v>
                </c:pt>
                <c:pt idx="196">
                  <c:v>13.597986047112089</c:v>
                </c:pt>
                <c:pt idx="197">
                  <c:v>13.359406865067738</c:v>
                </c:pt>
                <c:pt idx="198">
                  <c:v>13.122441596272216</c:v>
                </c:pt>
                <c:pt idx="199">
                  <c:v>12.887055507991347</c:v>
                </c:pt>
                <c:pt idx="200">
                  <c:v>12.653214283506326</c:v>
                </c:pt>
                <c:pt idx="201">
                  <c:v>12.420884107182037</c:v>
                </c:pt>
                <c:pt idx="202">
                  <c:v>12.190031744930776</c:v>
                </c:pt>
                <c:pt idx="203">
                  <c:v>11.960624620047417</c:v>
                </c:pt>
                <c:pt idx="204">
                  <c:v>11.732630884432275</c:v>
                </c:pt>
                <c:pt idx="205">
                  <c:v>11.506019485244778</c:v>
                </c:pt>
                <c:pt idx="206">
                  <c:v>11.280760227066274</c:v>
                </c:pt>
                <c:pt idx="207">
                  <c:v>11.056823829671609</c:v>
                </c:pt>
                <c:pt idx="208">
                  <c:v>10.834181981532932</c:v>
                </c:pt>
                <c:pt idx="209">
                  <c:v>10.612807389197172</c:v>
                </c:pt>
                <c:pt idx="210">
                  <c:v>10.392673822694547</c:v>
                </c:pt>
                <c:pt idx="211">
                  <c:v>10.173756157147064</c:v>
                </c:pt>
                <c:pt idx="212">
                  <c:v>9.9560304107542326</c:v>
                </c:pt>
                <c:pt idx="213">
                  <c:v>9.7394737793403063</c:v>
                </c:pt>
                <c:pt idx="214">
                  <c:v>9.5240646676511993</c:v>
                </c:pt>
                <c:pt idx="215">
                  <c:v>9.3097827175875185</c:v>
                </c:pt>
                <c:pt idx="216">
                  <c:v>9.0966088335627937</c:v>
                </c:pt>
                <c:pt idx="217">
                  <c:v>8.8845252051683659</c:v>
                </c:pt>
                <c:pt idx="218">
                  <c:v>8.6735153273244716</c:v>
                </c:pt>
                <c:pt idx="219">
                  <c:v>8.4635640180876042</c:v>
                </c:pt>
                <c:pt idx="220">
                  <c:v>8.2546574342772594</c:v>
                </c:pt>
                <c:pt idx="221">
                  <c:v>8.046783085074031</c:v>
                </c:pt>
                <c:pt idx="222">
                  <c:v>7.8399298437312499</c:v>
                </c:pt>
                <c:pt idx="223">
                  <c:v>7.6340879575284193</c:v>
                </c:pt>
                <c:pt idx="224">
                  <c:v>7.4292490560843314</c:v>
                </c:pt>
                <c:pt idx="225">
                  <c:v>7.2254061581302178</c:v>
                </c:pt>
                <c:pt idx="226">
                  <c:v>7.0225536768335104</c:v>
                </c:pt>
                <c:pt idx="227">
                  <c:v>6.8206874237436566</c:v>
                </c:pt>
                <c:pt idx="228">
                  <c:v>6.6198046114183295</c:v>
                </c:pt>
                <c:pt idx="229">
                  <c:v>6.4199038547725831</c:v>
                </c:pt>
                <c:pt idx="230">
                  <c:v>6.2209851711767552</c:v>
                </c:pt>
                <c:pt idx="231">
                  <c:v>6.0230499793137602</c:v>
                </c:pt>
                <c:pt idx="232">
                  <c:v>5.8261010967891291</c:v>
                </c:pt>
                <c:pt idx="233">
                  <c:v>5.6301427364732817</c:v>
                </c:pt>
                <c:pt idx="234">
                  <c:v>5.4351805015362764</c:v>
                </c:pt>
                <c:pt idx="235">
                  <c:v>5.2412213791227664</c:v>
                </c:pt>
                <c:pt idx="236">
                  <c:v>5.0482737325977576</c:v>
                </c:pt>
                <c:pt idx="237">
                  <c:v>4.8563472922784126</c:v>
                </c:pt>
                <c:pt idx="238">
                  <c:v>4.6654531445527434</c:v>
                </c:pt>
                <c:pt idx="239">
                  <c:v>4.4756037192742868</c:v>
                </c:pt>
                <c:pt idx="240">
                  <c:v>4.2868127753037504</c:v>
                </c:pt>
                <c:pt idx="241">
                  <c:v>4.0990953840604956</c:v>
                </c:pt>
                <c:pt idx="242">
                  <c:v>3.9124679109346716</c:v>
                </c:pt>
                <c:pt idx="243">
                  <c:v>3.7269479943973867</c:v>
                </c:pt>
                <c:pt idx="244">
                  <c:v>3.542554522640188</c:v>
                </c:pt>
                <c:pt idx="245">
                  <c:v>3.3593076075671071</c:v>
                </c:pt>
                <c:pt idx="246">
                  <c:v>3.1772285559559736</c:v>
                </c:pt>
                <c:pt idx="247">
                  <c:v>2.9963398376006256</c:v>
                </c:pt>
                <c:pt idx="248">
                  <c:v>2.8166650502457395</c:v>
                </c:pt>
                <c:pt idx="249">
                  <c:v>2.6382288811238936</c:v>
                </c:pt>
                <c:pt idx="250">
                  <c:v>2.4610570649084353</c:v>
                </c:pt>
                <c:pt idx="251">
                  <c:v>2.2851763378999546</c:v>
                </c:pt>
                <c:pt idx="252">
                  <c:v>2.110614388272861</c:v>
                </c:pt>
                <c:pt idx="253">
                  <c:v>1.9373998022184102</c:v>
                </c:pt>
                <c:pt idx="254">
                  <c:v>1.7655620058354322</c:v>
                </c:pt>
                <c:pt idx="255">
                  <c:v>1.5951312026373954</c:v>
                </c:pt>
                <c:pt idx="256">
                  <c:v>1.4261383065657758</c:v>
                </c:pt>
                <c:pt idx="257">
                  <c:v>1.2586148704216249</c:v>
                </c:pt>
                <c:pt idx="258">
                  <c:v>1.0925930096592333</c:v>
                </c:pt>
                <c:pt idx="259">
                  <c:v>0.92810532151348479</c:v>
                </c:pt>
                <c:pt idx="260">
                  <c:v>0.76518479947076656</c:v>
                </c:pt>
                <c:pt idx="261">
                  <c:v>0.60386474312960947</c:v>
                </c:pt>
                <c:pt idx="262">
                  <c:v>0.44417866353982488</c:v>
                </c:pt>
                <c:pt idx="263">
                  <c:v>0.28616018415512345</c:v>
                </c:pt>
                <c:pt idx="264">
                  <c:v>0.12984293757898782</c:v>
                </c:pt>
                <c:pt idx="265">
                  <c:v>-2.4739541663436414E-2</c:v>
                </c:pt>
                <c:pt idx="266">
                  <c:v>-0.17755392804624212</c:v>
                </c:pt>
                <c:pt idx="267">
                  <c:v>-0.32856721931859728</c:v>
                </c:pt>
                <c:pt idx="268">
                  <c:v>-0.47774685374761738</c:v>
                </c:pt>
                <c:pt idx="269">
                  <c:v>-0.6250608298846384</c:v>
                </c:pt>
                <c:pt idx="270">
                  <c:v>-0.77047782835995104</c:v>
                </c:pt>
                <c:pt idx="271">
                  <c:v>-0.9139673351583113</c:v>
                </c:pt>
                <c:pt idx="272">
                  <c:v>-1.0554997657815073</c:v>
                </c:pt>
                <c:pt idx="273">
                  <c:v>-1.1950465896580111</c:v>
                </c:pt>
                <c:pt idx="274">
                  <c:v>-1.3325804541192254</c:v>
                </c:pt>
                <c:pt idx="275">
                  <c:v>-1.4680753072265142</c:v>
                </c:pt>
                <c:pt idx="276">
                  <c:v>-1.6015065187044293</c:v>
                </c:pt>
                <c:pt idx="277">
                  <c:v>-1.7328509982144698</c:v>
                </c:pt>
                <c:pt idx="278">
                  <c:v>-1.8620873101853066</c:v>
                </c:pt>
                <c:pt idx="279">
                  <c:v>-1.9891957844150299</c:v>
                </c:pt>
                <c:pt idx="280">
                  <c:v>-2.1141586216578472</c:v>
                </c:pt>
                <c:pt idx="281">
                  <c:v>-2.2369599934238797</c:v>
                </c:pt>
                <c:pt idx="282">
                  <c:v>-2.3575861352395622</c:v>
                </c:pt>
                <c:pt idx="283">
                  <c:v>-2.4760254326478019</c:v>
                </c:pt>
                <c:pt idx="284">
                  <c:v>-2.5922684992673677</c:v>
                </c:pt>
                <c:pt idx="285">
                  <c:v>-2.7063082462798551</c:v>
                </c:pt>
                <c:pt idx="286">
                  <c:v>-2.8181399427698448</c:v>
                </c:pt>
                <c:pt idx="287">
                  <c:v>-2.9277612664106183</c:v>
                </c:pt>
                <c:pt idx="288">
                  <c:v>-3.035172344060463</c:v>
                </c:pt>
                <c:pt idx="289">
                  <c:v>-3.1403757819093898</c:v>
                </c:pt>
                <c:pt idx="290">
                  <c:v>-3.2433766849078078</c:v>
                </c:pt>
                <c:pt idx="291">
                  <c:v>-3.3441826652841748</c:v>
                </c:pt>
                <c:pt idx="292">
                  <c:v>-3.4428038400604217</c:v>
                </c:pt>
                <c:pt idx="293">
                  <c:v>-3.5392528175524602</c:v>
                </c:pt>
                <c:pt idx="294">
                  <c:v>-3.6335446729427328</c:v>
                </c:pt>
                <c:pt idx="295">
                  <c:v>-3.7256969130916797</c:v>
                </c:pt>
                <c:pt idx="296">
                  <c:v>-3.8157294308449661</c:v>
                </c:pt>
                <c:pt idx="297">
                  <c:v>-3.9036644491699688</c:v>
                </c:pt>
                <c:pt idx="298">
                  <c:v>-3.9895264555327774</c:v>
                </c:pt>
                <c:pt idx="299">
                  <c:v>-4.0733421269905454</c:v>
                </c:pt>
                <c:pt idx="300">
                  <c:v>-4.1551402465405332</c:v>
                </c:pt>
                <c:pt idx="301">
                  <c:v>-4.2349516113141652</c:v>
                </c:pt>
                <c:pt idx="302">
                  <c:v>-4.3128089332518469</c:v>
                </c:pt>
                <c:pt idx="303">
                  <c:v>-4.3887467329297998</c:v>
                </c:pt>
                <c:pt idx="304">
                  <c:v>-4.4628012272333972</c:v>
                </c:pt>
                <c:pt idx="305">
                  <c:v>-4.5350102115951838</c:v>
                </c:pt>
                <c:pt idx="306">
                  <c:v>-4.6054129375182455</c:v>
                </c:pt>
                <c:pt idx="307">
                  <c:v>-4.6740499861129896</c:v>
                </c:pt>
                <c:pt idx="308">
                  <c:v>-4.7409631383655331</c:v>
                </c:pt>
                <c:pt idx="309">
                  <c:v>-4.8061952428461918</c:v>
                </c:pt>
                <c:pt idx="310">
                  <c:v>-4.8697900815446191</c:v>
                </c:pt>
                <c:pt idx="311">
                  <c:v>-4.9317922344986638</c:v>
                </c:pt>
                <c:pt idx="312">
                  <c:v>-4.9922469438537957</c:v>
                </c:pt>
                <c:pt idx="313">
                  <c:v>-5.051199977959806</c:v>
                </c:pt>
                <c:pt idx="314">
                  <c:v>-5.1086974960798992</c:v>
                </c:pt>
                <c:pt idx="315">
                  <c:v>-5.1647859142526107</c:v>
                </c:pt>
                <c:pt idx="316">
                  <c:v>-5.2195117728122709</c:v>
                </c:pt>
                <c:pt idx="317">
                  <c:v>-5.2729216060417317</c:v>
                </c:pt>
                <c:pt idx="318">
                  <c:v>-5.3250618143963475</c:v>
                </c:pt>
                <c:pt idx="319">
                  <c:v>-5.3759785397091919</c:v>
                </c:pt>
                <c:pt idx="320">
                  <c:v>-5.4257175437581413</c:v>
                </c:pt>
                <c:pt idx="321">
                  <c:v>-5.4743240905504322</c:v>
                </c:pt>
                <c:pt idx="322">
                  <c:v>-5.5218428326570024</c:v>
                </c:pt>
                <c:pt idx="323">
                  <c:v>-5.5683177019093133</c:v>
                </c:pt>
                <c:pt idx="324">
                  <c:v>-5.6137918047549782</c:v>
                </c:pt>
                <c:pt idx="325">
                  <c:v>-5.6583073225556655</c:v>
                </c:pt>
                <c:pt idx="326">
                  <c:v>-5.701905417097052</c:v>
                </c:pt>
                <c:pt idx="327">
                  <c:v>-5.7446261415762914</c:v>
                </c:pt>
                <c:pt idx="328">
                  <c:v>-5.7865083573213338</c:v>
                </c:pt>
                <c:pt idx="329">
                  <c:v>-5.8275896564935152</c:v>
                </c:pt>
                <c:pt idx="330">
                  <c:v>-5.86790629101933</c:v>
                </c:pt>
                <c:pt idx="331">
                  <c:v>-5.9074931079932629</c:v>
                </c:pt>
                <c:pt idx="332">
                  <c:v>-5.9463834917835898</c:v>
                </c:pt>
                <c:pt idx="333">
                  <c:v>-5.9846093130744746</c:v>
                </c:pt>
                <c:pt idx="334">
                  <c:v>-6.0222008850581403</c:v>
                </c:pt>
                <c:pt idx="335">
                  <c:v>-6.059186926985392</c:v>
                </c:pt>
                <c:pt idx="336">
                  <c:v>-6.0955945352652048</c:v>
                </c:pt>
                <c:pt idx="337">
                  <c:v>-6.1314491622817657</c:v>
                </c:pt>
                <c:pt idx="338">
                  <c:v>-6.1667746030750239</c:v>
                </c:pt>
                <c:pt idx="339">
                  <c:v>-6.2015929900007238</c:v>
                </c:pt>
                <c:pt idx="340">
                  <c:v>-6.2359247954484012</c:v>
                </c:pt>
                <c:pt idx="341">
                  <c:v>-6.2697888426599881</c:v>
                </c:pt>
                <c:pt idx="342">
                  <c:v>-6.3032023246420916</c:v>
                </c:pt>
                <c:pt idx="343">
                  <c:v>-6.3361808311175487</c:v>
                </c:pt>
                <c:pt idx="344">
                  <c:v>-6.368738383407905</c:v>
                </c:pt>
                <c:pt idx="345">
                  <c:v>-6.4008874770776405</c:v>
                </c:pt>
                <c:pt idx="346">
                  <c:v>-6.432639132112814</c:v>
                </c:pt>
                <c:pt idx="347">
                  <c:v>-6.4640029503447707</c:v>
                </c:pt>
                <c:pt idx="348">
                  <c:v>-6.4949871797613294</c:v>
                </c:pt>
                <c:pt idx="349">
                  <c:v>-6.5255987852923525</c:v>
                </c:pt>
                <c:pt idx="350">
                  <c:v>-6.5558435255869156</c:v>
                </c:pt>
                <c:pt idx="351">
                  <c:v>-6.5857260352493983</c:v>
                </c:pt>
                <c:pt idx="352">
                  <c:v>-6.6152499119411274</c:v>
                </c:pt>
                <c:pt idx="353">
                  <c:v>-6.6444178077090479</c:v>
                </c:pt>
                <c:pt idx="354">
                  <c:v>-6.6732315238614426</c:v>
                </c:pt>
                <c:pt idx="355">
                  <c:v>-6.7016921086754824</c:v>
                </c:pt>
                <c:pt idx="356">
                  <c:v>-6.7297999571966489</c:v>
                </c:pt>
                <c:pt idx="357">
                  <c:v>-6.7575549123754675</c:v>
                </c:pt>
                <c:pt idx="358">
                  <c:v>-6.7849563667801149</c:v>
                </c:pt>
                <c:pt idx="359">
                  <c:v>-6.8120033641271593</c:v>
                </c:pt>
                <c:pt idx="360">
                  <c:v>-6.8386946998909837</c:v>
                </c:pt>
                <c:pt idx="361">
                  <c:v>-6.8650290202720523</c:v>
                </c:pt>
                <c:pt idx="362">
                  <c:v>-6.891004918844116</c:v>
                </c:pt>
                <c:pt idx="363">
                  <c:v>-6.9166210302412505</c:v>
                </c:pt>
                <c:pt idx="364">
                  <c:v>-6.94187612029602</c:v>
                </c:pt>
                <c:pt idx="365">
                  <c:v>-6.9667691721054812</c:v>
                </c:pt>
                <c:pt idx="366">
                  <c:v>-6.9912994675587656</c:v>
                </c:pt>
                <c:pt idx="367">
                  <c:v>-7.0154666639366052</c:v>
                </c:pt>
                <c:pt idx="368">
                  <c:v>-7.0392708652640845</c:v>
                </c:pt>
                <c:pt idx="369">
                  <c:v>-7.0627126881732325</c:v>
                </c:pt>
                <c:pt idx="370">
                  <c:v>-7.0857933221101099</c:v>
                </c:pt>
                <c:pt idx="371">
                  <c:v>-7.108514583796298</c:v>
                </c:pt>
                <c:pt idx="372">
                  <c:v>-7.1308789659279137</c:v>
                </c:pt>
                <c:pt idx="373">
                  <c:v>-7.1528896801695439</c:v>
                </c:pt>
                <c:pt idx="374">
                  <c:v>-7.1745506945628552</c:v>
                </c:pt>
                <c:pt idx="375">
                  <c:v>-7.1958667655390034</c:v>
                </c:pt>
                <c:pt idx="376">
                  <c:v>-7.2168434647739446</c:v>
                </c:pt>
                <c:pt idx="377">
                  <c:v>-7.2374872011807065</c:v>
                </c:pt>
                <c:pt idx="378">
                  <c:v>-7.2578052383781833</c:v>
                </c:pt>
                <c:pt idx="379">
                  <c:v>-7.2778057080089891</c:v>
                </c:pt>
                <c:pt idx="380">
                  <c:v>-7.297497619314429</c:v>
                </c:pt>
                <c:pt idx="381">
                  <c:v>-7.3168908653976361</c:v>
                </c:pt>
                <c:pt idx="382">
                  <c:v>-7.3359962266218037</c:v>
                </c:pt>
                <c:pt idx="383">
                  <c:v>-7.3548253716055019</c:v>
                </c:pt>
                <c:pt idx="384">
                  <c:v>-7.3733908562789185</c:v>
                </c:pt>
                <c:pt idx="385">
                  <c:v>-7.3917061214696211</c:v>
                </c:pt>
                <c:pt idx="386">
                  <c:v>-7.4097854894785957</c:v>
                </c:pt>
                <c:pt idx="387">
                  <c:v>-7.4276441601019805</c:v>
                </c:pt>
                <c:pt idx="388">
                  <c:v>-7.445298206538606</c:v>
                </c:pt>
                <c:pt idx="389">
                  <c:v>-7.4627645716126576</c:v>
                </c:pt>
                <c:pt idx="390">
                  <c:v>-7.4800610647204566</c:v>
                </c:pt>
                <c:pt idx="391">
                  <c:v>-7.4972063598914609</c:v>
                </c:pt>
                <c:pt idx="392">
                  <c:v>-7.5142199953357487</c:v>
                </c:pt>
                <c:pt idx="393">
                  <c:v>-7.531122374826138</c:v>
                </c:pt>
                <c:pt idx="394">
                  <c:v>-7.5479347712422618</c:v>
                </c:pt>
                <c:pt idx="395">
                  <c:v>-7.5646793325840225</c:v>
                </c:pt>
                <c:pt idx="396">
                  <c:v>-7.5813790907402732</c:v>
                </c:pt>
                <c:pt idx="397">
                  <c:v>-7.5980579732743481</c:v>
                </c:pt>
                <c:pt idx="398">
                  <c:v>-7.6147408184755685</c:v>
                </c:pt>
                <c:pt idx="399">
                  <c:v>-7.6314533938984948</c:v>
                </c:pt>
                <c:pt idx="400">
                  <c:v>-7.6482224186024776</c:v>
                </c:pt>
                <c:pt idx="401">
                  <c:v>-7.6650755892797262</c:v>
                </c:pt>
                <c:pt idx="402">
                  <c:v>-7.6820416104503551</c:v>
                </c:pt>
                <c:pt idx="403">
                  <c:v>-7.6991502288857685</c:v>
                </c:pt>
                <c:pt idx="404">
                  <c:v>-7.7164322724050525</c:v>
                </c:pt>
                <c:pt idx="405">
                  <c:v>-7.7339196931831236</c:v>
                </c:pt>
                <c:pt idx="406">
                  <c:v>-7.751645615687611</c:v>
                </c:pt>
                <c:pt idx="407">
                  <c:v>-7.7696443893550695</c:v>
                </c:pt>
                <c:pt idx="408">
                  <c:v>-7.7879516461005229</c:v>
                </c:pt>
                <c:pt idx="409">
                  <c:v>-7.8066043627424762</c:v>
                </c:pt>
                <c:pt idx="410">
                  <c:v>-7.8256409284079611</c:v>
                </c:pt>
                <c:pt idx="411">
                  <c:v>-7.8451012169669543</c:v>
                </c:pt>
                <c:pt idx="412">
                  <c:v>-7.8650266645285853</c:v>
                </c:pt>
                <c:pt idx="413">
                  <c:v>-7.8854603520048627</c:v>
                </c:pt>
                <c:pt idx="414">
                  <c:v>-7.9064470927261024</c:v>
                </c:pt>
                <c:pt idx="415">
                  <c:v>-7.9280335250639977</c:v>
                </c:pt>
                <c:pt idx="416">
                  <c:v>-7.9502682099793889</c:v>
                </c:pt>
                <c:pt idx="417">
                  <c:v>-7.9732017333758334</c:v>
                </c:pt>
                <c:pt idx="418">
                  <c:v>-7.9968868130929884</c:v>
                </c:pt>
                <c:pt idx="419">
                  <c:v>-8.0213784103171033</c:v>
                </c:pt>
                <c:pt idx="420">
                  <c:v>-8.0467338451277683</c:v>
                </c:pt>
                <c:pt idx="421">
                  <c:v>-8.0730129158239894</c:v>
                </c:pt>
                <c:pt idx="422">
                  <c:v>-8.1002780215951695</c:v>
                </c:pt>
                <c:pt idx="423">
                  <c:v>-8.1285942880037396</c:v>
                </c:pt>
                <c:pt idx="424">
                  <c:v>-8.1580296946476256</c:v>
                </c:pt>
                <c:pt idx="425">
                  <c:v>-8.1886552042463503</c:v>
                </c:pt>
                <c:pt idx="426">
                  <c:v>-8.2205448922658348</c:v>
                </c:pt>
                <c:pt idx="427">
                  <c:v>-8.253776076051432</c:v>
                </c:pt>
                <c:pt idx="428">
                  <c:v>-8.2884294422754827</c:v>
                </c:pt>
                <c:pt idx="429">
                  <c:v>-8.3245891713332547</c:v>
                </c:pt>
                <c:pt idx="430">
                  <c:v>-8.3623430571314792</c:v>
                </c:pt>
                <c:pt idx="431">
                  <c:v>-8.4017826205095361</c:v>
                </c:pt>
                <c:pt idx="432">
                  <c:v>-8.4430032143220437</c:v>
                </c:pt>
                <c:pt idx="433">
                  <c:v>-8.486104117985235</c:v>
                </c:pt>
                <c:pt idx="434">
                  <c:v>-8.531188619060261</c:v>
                </c:pt>
                <c:pt idx="435">
                  <c:v>-8.5783640792105391</c:v>
                </c:pt>
                <c:pt idx="436">
                  <c:v>-8.6277419816413996</c:v>
                </c:pt>
                <c:pt idx="437">
                  <c:v>-8.6794379569023334</c:v>
                </c:pt>
                <c:pt idx="438">
                  <c:v>-8.7335717837241091</c:v>
                </c:pt>
                <c:pt idx="439">
                  <c:v>-8.7902673613773636</c:v>
                </c:pt>
                <c:pt idx="440">
                  <c:v>-8.8496526498844226</c:v>
                </c:pt>
                <c:pt idx="441">
                  <c:v>-8.9118595743087212</c:v>
                </c:pt>
                <c:pt idx="442">
                  <c:v>-8.9770238892915977</c:v>
                </c:pt>
                <c:pt idx="443">
                  <c:v>-9.0452850000245846</c:v>
                </c:pt>
                <c:pt idx="444">
                  <c:v>-9.116785735943477</c:v>
                </c:pt>
                <c:pt idx="445">
                  <c:v>-9.1916720736287765</c:v>
                </c:pt>
                <c:pt idx="446">
                  <c:v>-9.2700928057026069</c:v>
                </c:pt>
                <c:pt idx="447">
                  <c:v>-9.3521991529463904</c:v>
                </c:pt>
                <c:pt idx="448">
                  <c:v>-9.4381443174256212</c:v>
                </c:pt>
                <c:pt idx="449">
                  <c:v>-9.528082975119883</c:v>
                </c:pt>
                <c:pt idx="450">
                  <c:v>-9.6221707074072178</c:v>
                </c:pt>
                <c:pt idx="451">
                  <c:v>-9.7205633717590469</c:v>
                </c:pt>
                <c:pt idx="452">
                  <c:v>-9.8234164131397641</c:v>
                </c:pt>
                <c:pt idx="453">
                  <c:v>-9.9308841188795842</c:v>
                </c:pt>
                <c:pt idx="454">
                  <c:v>-10.043118821166248</c:v>
                </c:pt>
                <c:pt idx="455">
                  <c:v>-10.160270052760296</c:v>
                </c:pt>
                <c:pt idx="456">
                  <c:v>-10.282483663040701</c:v>
                </c:pt>
                <c:pt idx="457">
                  <c:v>-10.409900902991115</c:v>
                </c:pt>
                <c:pt idx="458">
                  <c:v>-10.542657489187206</c:v>
                </c:pt>
                <c:pt idx="459">
                  <c:v>-10.680882658193831</c:v>
                </c:pt>
                <c:pt idx="460">
                  <c:v>-10.824698223960498</c:v>
                </c:pt>
                <c:pt idx="461">
                  <c:v>-10.974217651760487</c:v>
                </c:pt>
                <c:pt idx="462">
                  <c:v>-11.129545162899468</c:v>
                </c:pt>
                <c:pt idx="463">
                  <c:v>-11.290774884762484</c:v>
                </c:pt>
                <c:pt idx="464">
                  <c:v>-11.457990060741459</c:v>
                </c:pt>
                <c:pt idx="465">
                  <c:v>-11.631262334162709</c:v>
                </c:pt>
                <c:pt idx="466">
                  <c:v>-11.810651119491162</c:v>
                </c:pt>
                <c:pt idx="467">
                  <c:v>-11.996203072837062</c:v>
                </c:pt>
                <c:pt idx="468">
                  <c:v>-12.187951672158032</c:v>
                </c:pt>
                <c:pt idx="469">
                  <c:v>-12.385916915566792</c:v>
                </c:pt>
                <c:pt idx="470">
                  <c:v>-12.590105143886865</c:v>
                </c:pt>
                <c:pt idx="471">
                  <c:v>-12.800508991118839</c:v>
                </c:pt>
                <c:pt idx="472">
                  <c:v>-13.017107463870483</c:v>
                </c:pt>
                <c:pt idx="473">
                  <c:v>-13.239866148158079</c:v>
                </c:pt>
                <c:pt idx="474">
                  <c:v>-13.468737539394105</c:v>
                </c:pt>
                <c:pt idx="475">
                  <c:v>-13.703661488937545</c:v>
                </c:pt>
                <c:pt idx="476">
                  <c:v>-13.944565758364181</c:v>
                </c:pt>
                <c:pt idx="477">
                  <c:v>-14.191366670702044</c:v>
                </c:pt>
                <c:pt idx="478">
                  <c:v>-14.443969846320478</c:v>
                </c:pt>
                <c:pt idx="479">
                  <c:v>-14.702271009988737</c:v>
                </c:pt>
                <c:pt idx="480">
                  <c:v>-14.966156854870764</c:v>
                </c:pt>
                <c:pt idx="481">
                  <c:v>-15.235505948877094</c:v>
                </c:pt>
                <c:pt idx="482">
                  <c:v>-15.510189668850181</c:v>
                </c:pt>
                <c:pt idx="483">
                  <c:v>-15.790073148473247</c:v>
                </c:pt>
                <c:pt idx="484">
                  <c:v>-16.075016226538359</c:v>
                </c:pt>
                <c:pt idx="485">
                  <c:v>-16.364874383211117</c:v>
                </c:pt>
                <c:pt idx="486">
                  <c:v>-16.659499653152576</c:v>
                </c:pt>
                <c:pt idx="487">
                  <c:v>-16.958741505731343</c:v>
                </c:pt>
                <c:pt idx="488">
                  <c:v>-17.262447684024366</c:v>
                </c:pt>
                <c:pt idx="489">
                  <c:v>-17.570464995809555</c:v>
                </c:pt>
                <c:pt idx="490">
                  <c:v>-17.882640051253802</c:v>
                </c:pt>
                <c:pt idx="491">
                  <c:v>-18.198819943439961</c:v>
                </c:pt>
                <c:pt idx="492">
                  <c:v>-18.51885286923569</c:v>
                </c:pt>
                <c:pt idx="493">
                  <c:v>-18.842588689253986</c:v>
                </c:pt>
                <c:pt idx="494">
                  <c:v>-19.169879426768233</c:v>
                </c:pt>
                <c:pt idx="495">
                  <c:v>-19.500579706413482</c:v>
                </c:pt>
                <c:pt idx="496">
                  <c:v>-19.834547134335491</c:v>
                </c:pt>
                <c:pt idx="497">
                  <c:v>-20.171642622118561</c:v>
                </c:pt>
                <c:pt idx="498">
                  <c:v>-20.511730657368943</c:v>
                </c:pt>
                <c:pt idx="499">
                  <c:v>-20.854679524223116</c:v>
                </c:pt>
                <c:pt idx="500">
                  <c:v>-21.20036147734471</c:v>
                </c:pt>
                <c:pt idx="501">
                  <c:v>-21.548652873137627</c:v>
                </c:pt>
                <c:pt idx="502">
                  <c:v>-21.899434261990876</c:v>
                </c:pt>
                <c:pt idx="503">
                  <c:v>-22.252590445367598</c:v>
                </c:pt>
                <c:pt idx="504">
                  <c:v>-22.608010501480468</c:v>
                </c:pt>
                <c:pt idx="505">
                  <c:v>-22.965587783183295</c:v>
                </c:pt>
                <c:pt idx="506">
                  <c:v>-23.325219891536335</c:v>
                </c:pt>
                <c:pt idx="507">
                  <c:v>-23.686808628316935</c:v>
                </c:pt>
                <c:pt idx="508">
                  <c:v>-24.050259930528174</c:v>
                </c:pt>
                <c:pt idx="509">
                  <c:v>-24.415483789729862</c:v>
                </c:pt>
                <c:pt idx="510">
                  <c:v>-24.782394158782644</c:v>
                </c:pt>
                <c:pt idx="511">
                  <c:v>-25.150908848358036</c:v>
                </c:pt>
                <c:pt idx="512">
                  <c:v>-25.520949415337984</c:v>
                </c:pt>
                <c:pt idx="513">
                  <c:v>-25.892441045000428</c:v>
                </c:pt>
                <c:pt idx="514">
                  <c:v>-26.26531242867436</c:v>
                </c:pt>
                <c:pt idx="515">
                  <c:v>-26.639495638346176</c:v>
                </c:pt>
                <c:pt idx="516">
                  <c:v>-27.01492599950836</c:v>
                </c:pt>
                <c:pt idx="517">
                  <c:v>-27.391541963371033</c:v>
                </c:pt>
                <c:pt idx="518">
                  <c:v>-27.769284979390939</c:v>
                </c:pt>
                <c:pt idx="519">
                  <c:v>-28.148099368932847</c:v>
                </c:pt>
                <c:pt idx="520">
                  <c:v>-28.527932200743113</c:v>
                </c:pt>
                <c:pt idx="521">
                  <c:v>-28.90873316879826</c:v>
                </c:pt>
                <c:pt idx="522">
                  <c:v>-29.290454472987232</c:v>
                </c:pt>
                <c:pt idx="523">
                  <c:v>-29.673050702991262</c:v>
                </c:pt>
                <c:pt idx="524">
                  <c:v>-30.056478725647068</c:v>
                </c:pt>
                <c:pt idx="525">
                  <c:v>-30.440697576002741</c:v>
                </c:pt>
                <c:pt idx="526">
                  <c:v>-30.825668352218795</c:v>
                </c:pt>
                <c:pt idx="527">
                  <c:v>-31.211354114411286</c:v>
                </c:pt>
                <c:pt idx="528">
                  <c:v>-31.597719787487431</c:v>
                </c:pt>
                <c:pt idx="529">
                  <c:v>-31.984732067990723</c:v>
                </c:pt>
                <c:pt idx="530">
                  <c:v>-32.372359334930664</c:v>
                </c:pt>
                <c:pt idx="531">
                  <c:v>-32.760571564558298</c:v>
                </c:pt>
                <c:pt idx="532">
                  <c:v>-33.149340249012567</c:v>
                </c:pt>
                <c:pt idx="533">
                  <c:v>-33.538638318759936</c:v>
                </c:pt>
                <c:pt idx="534">
                  <c:v>-33.928440068720512</c:v>
                </c:pt>
                <c:pt idx="535">
                  <c:v>-34.318721087974652</c:v>
                </c:pt>
                <c:pt idx="536">
                  <c:v>-34.709458192929297</c:v>
                </c:pt>
                <c:pt idx="537">
                  <c:v>-35.100629363822534</c:v>
                </c:pt>
                <c:pt idx="538">
                  <c:v>-35.492213684434603</c:v>
                </c:pt>
                <c:pt idx="539">
                  <c:v>-35.884191284878725</c:v>
                </c:pt>
                <c:pt idx="540">
                  <c:v>-36.276543287337994</c:v>
                </c:pt>
                <c:pt idx="541">
                  <c:v>-36.669251754621477</c:v>
                </c:pt>
              </c:numCache>
            </c:numRef>
          </c:yVal>
          <c:smooth val="1"/>
          <c:extLst>
            <c:ext xmlns:c16="http://schemas.microsoft.com/office/drawing/2014/chart" uri="{C3380CC4-5D6E-409C-BE32-E72D297353CC}">
              <c16:uniqueId val="{00000000-7AB1-42AA-8DBD-6D7B5452EF93}"/>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64.119115262287494</c:v>
                </c:pt>
                <c:pt idx="1">
                  <c:v>63.609259140297851</c:v>
                </c:pt>
                <c:pt idx="2">
                  <c:v>63.092979852811091</c:v>
                </c:pt>
                <c:pt idx="3">
                  <c:v>62.570400709467499</c:v>
                </c:pt>
                <c:pt idx="4">
                  <c:v>62.041657125728811</c:v>
                </c:pt>
                <c:pt idx="5">
                  <c:v>61.506896816365227</c:v>
                </c:pt>
                <c:pt idx="6">
                  <c:v>60.966279952171796</c:v>
                </c:pt>
                <c:pt idx="7">
                  <c:v>60.419979276874372</c:v>
                </c:pt>
                <c:pt idx="8">
                  <c:v>59.868180181304204</c:v>
                </c:pt>
                <c:pt idx="9">
                  <c:v>59.311080732083177</c:v>
                </c:pt>
                <c:pt idx="10">
                  <c:v>58.748891652267062</c:v>
                </c:pt>
                <c:pt idx="11">
                  <c:v>58.181836251641265</c:v>
                </c:pt>
                <c:pt idx="12">
                  <c:v>57.6101503046551</c:v>
                </c:pt>
                <c:pt idx="13">
                  <c:v>57.034081874311582</c:v>
                </c:pt>
                <c:pt idx="14">
                  <c:v>56.453891080712339</c:v>
                </c:pt>
                <c:pt idx="15">
                  <c:v>55.869849813355366</c:v>
                </c:pt>
                <c:pt idx="16">
                  <c:v>55.282241386743287</c:v>
                </c:pt>
                <c:pt idx="17">
                  <c:v>54.69136013932804</c:v>
                </c:pt>
                <c:pt idx="18">
                  <c:v>54.097510976317757</c:v>
                </c:pt>
                <c:pt idx="19">
                  <c:v>53.501008857394567</c:v>
                </c:pt>
                <c:pt idx="20">
                  <c:v>52.902178230918146</c:v>
                </c:pt>
                <c:pt idx="21">
                  <c:v>52.301352416725507</c:v>
                </c:pt>
                <c:pt idx="22">
                  <c:v>51.698872940164222</c:v>
                </c:pt>
                <c:pt idx="23">
                  <c:v>51.095088820515379</c:v>
                </c:pt>
                <c:pt idx="24">
                  <c:v>50.490355817461264</c:v>
                </c:pt>
                <c:pt idx="25">
                  <c:v>49.885035639707517</c:v>
                </c:pt>
                <c:pt idx="26">
                  <c:v>49.279495120318188</c:v>
                </c:pt>
                <c:pt idx="27">
                  <c:v>48.674105363686948</c:v>
                </c:pt>
                <c:pt idx="28">
                  <c:v>48.069240869411196</c:v>
                </c:pt>
                <c:pt idx="29">
                  <c:v>47.465278638607138</c:v>
                </c:pt>
                <c:pt idx="30">
                  <c:v>46.862597268414895</c:v>
                </c:pt>
                <c:pt idx="31">
                  <c:v>46.261576040580543</c:v>
                </c:pt>
                <c:pt idx="32">
                  <c:v>45.662594010090764</c:v>
                </c:pt>
                <c:pt idx="33">
                  <c:v>45.066029099807956</c:v>
                </c:pt>
                <c:pt idx="34">
                  <c:v>44.472257207024732</c:v>
                </c:pt>
                <c:pt idx="35">
                  <c:v>43.881651327676515</c:v>
                </c:pt>
                <c:pt idx="36">
                  <c:v>43.294580703767735</c:v>
                </c:pt>
                <c:pt idx="37">
                  <c:v>42.711409999290943</c:v>
                </c:pt>
                <c:pt idx="38">
                  <c:v>42.132498509581076</c:v>
                </c:pt>
                <c:pt idx="39">
                  <c:v>41.558199408673602</c:v>
                </c:pt>
                <c:pt idx="40">
                  <c:v>40.988859038803938</c:v>
                </c:pt>
                <c:pt idx="41">
                  <c:v>40.42481624571419</c:v>
                </c:pt>
                <c:pt idx="42">
                  <c:v>39.866401762953544</c:v>
                </c:pt>
                <c:pt idx="43">
                  <c:v>39.313937647818165</c:v>
                </c:pt>
                <c:pt idx="44">
                  <c:v>38.767736771070872</c:v>
                </c:pt>
                <c:pt idx="45">
                  <c:v>38.228102362025759</c:v>
                </c:pt>
                <c:pt idx="46">
                  <c:v>37.695327610067338</c:v>
                </c:pt>
                <c:pt idx="47">
                  <c:v>37.16969532313788</c:v>
                </c:pt>
                <c:pt idx="48">
                  <c:v>36.651477643238415</c:v>
                </c:pt>
                <c:pt idx="49">
                  <c:v>36.140935818499422</c:v>
                </c:pt>
                <c:pt idx="50">
                  <c:v>35.638320030928995</c:v>
                </c:pt>
                <c:pt idx="51">
                  <c:v>35.14386927853549</c:v>
                </c:pt>
                <c:pt idx="52">
                  <c:v>34.657811310138435</c:v>
                </c:pt>
                <c:pt idx="53">
                  <c:v>34.180362610842487</c:v>
                </c:pt>
                <c:pt idx="54">
                  <c:v>33.71172843585785</c:v>
                </c:pt>
                <c:pt idx="55">
                  <c:v>33.252102890095955</c:v>
                </c:pt>
                <c:pt idx="56">
                  <c:v>32.801669050754263</c:v>
                </c:pt>
                <c:pt idx="57">
                  <c:v>32.360599129946472</c:v>
                </c:pt>
                <c:pt idx="58">
                  <c:v>31.92905467429927</c:v>
                </c:pt>
                <c:pt idx="59">
                  <c:v>31.507186798359026</c:v>
                </c:pt>
                <c:pt idx="60">
                  <c:v>31.095136448593845</c:v>
                </c:pt>
                <c:pt idx="61">
                  <c:v>30.693034694776074</c:v>
                </c:pt>
                <c:pt idx="62">
                  <c:v>30.301003045531587</c:v>
                </c:pt>
                <c:pt idx="63">
                  <c:v>29.919153784902271</c:v>
                </c:pt>
                <c:pt idx="64">
                  <c:v>29.547590326834314</c:v>
                </c:pt>
                <c:pt idx="65">
                  <c:v>29.186407584597731</c:v>
                </c:pt>
                <c:pt idx="66">
                  <c:v>28.835692352256736</c:v>
                </c:pt>
                <c:pt idx="67">
                  <c:v>28.495523695438386</c:v>
                </c:pt>
                <c:pt idx="68">
                  <c:v>28.165973348785649</c:v>
                </c:pt>
                <c:pt idx="69">
                  <c:v>27.847106117632435</c:v>
                </c:pt>
                <c:pt idx="70">
                  <c:v>27.538980281590071</c:v>
                </c:pt>
                <c:pt idx="71">
                  <c:v>27.241647997898909</c:v>
                </c:pt>
                <c:pt idx="72">
                  <c:v>26.955155702559331</c:v>
                </c:pt>
                <c:pt idx="73">
                  <c:v>26.679544507412366</c:v>
                </c:pt>
                <c:pt idx="74">
                  <c:v>26.414850591506358</c:v>
                </c:pt>
                <c:pt idx="75">
                  <c:v>26.161105585237667</c:v>
                </c:pt>
                <c:pt idx="76">
                  <c:v>25.918336945901277</c:v>
                </c:pt>
                <c:pt idx="77">
                  <c:v>25.686568323434042</c:v>
                </c:pt>
                <c:pt idx="78">
                  <c:v>25.465819915269414</c:v>
                </c:pt>
                <c:pt idx="79">
                  <c:v>25.25610880934801</c:v>
                </c:pt>
                <c:pt idx="80">
                  <c:v>25.057449314454441</c:v>
                </c:pt>
                <c:pt idx="81">
                  <c:v>24.86985327715422</c:v>
                </c:pt>
                <c:pt idx="82">
                  <c:v>24.693330384718081</c:v>
                </c:pt>
                <c:pt idx="83">
                  <c:v>24.527888453502797</c:v>
                </c:pt>
                <c:pt idx="84">
                  <c:v>24.373533702352173</c:v>
                </c:pt>
                <c:pt idx="85">
                  <c:v>24.230271010654082</c:v>
                </c:pt>
                <c:pt idx="86">
                  <c:v>24.098104160755231</c:v>
                </c:pt>
                <c:pt idx="87">
                  <c:v>23.977036064499998</c:v>
                </c:pt>
                <c:pt idx="88">
                  <c:v>23.867068973705376</c:v>
                </c:pt>
                <c:pt idx="89">
                  <c:v>23.768204674433431</c:v>
                </c:pt>
                <c:pt idx="90">
                  <c:v>23.680444664958117</c:v>
                </c:pt>
                <c:pt idx="91">
                  <c:v>23.603790317353074</c:v>
                </c:pt>
                <c:pt idx="92">
                  <c:v>23.538243022652864</c:v>
                </c:pt>
                <c:pt idx="93">
                  <c:v>23.483804319564598</c:v>
                </c:pt>
                <c:pt idx="94">
                  <c:v>23.440476006710455</c:v>
                </c:pt>
                <c:pt idx="95">
                  <c:v>23.408260238406374</c:v>
                </c:pt>
                <c:pt idx="96">
                  <c:v>23.387159603977633</c:v>
                </c:pt>
                <c:pt idx="97">
                  <c:v>23.377177190621595</c:v>
                </c:pt>
                <c:pt idx="98">
                  <c:v>23.378316629829225</c:v>
                </c:pt>
                <c:pt idx="99">
                  <c:v>23.390582127370347</c:v>
                </c:pt>
                <c:pt idx="100">
                  <c:v>23.413978476855835</c:v>
                </c:pt>
                <c:pt idx="101">
                  <c:v>23.448511056873865</c:v>
                </c:pt>
                <c:pt idx="102">
                  <c:v>23.49418581170422</c:v>
                </c:pt>
                <c:pt idx="103">
                  <c:v>23.551009215605866</c:v>
                </c:pt>
                <c:pt idx="104">
                  <c:v>23.618988220670794</c:v>
                </c:pt>
                <c:pt idx="105">
                  <c:v>23.698130188236085</c:v>
                </c:pt>
                <c:pt idx="106">
                  <c:v>23.788442803849104</c:v>
                </c:pt>
                <c:pt idx="107">
                  <c:v>23.889933975776568</c:v>
                </c:pt>
                <c:pt idx="108">
                  <c:v>24.002611717062752</c:v>
                </c:pt>
                <c:pt idx="109">
                  <c:v>24.126484011143909</c:v>
                </c:pt>
                <c:pt idx="110">
                  <c:v>24.261558661044255</c:v>
                </c:pt>
                <c:pt idx="111">
                  <c:v>24.40784312219408</c:v>
                </c:pt>
                <c:pt idx="112">
                  <c:v>24.565344318934475</c:v>
                </c:pt>
                <c:pt idx="113">
                  <c:v>24.734068444801121</c:v>
                </c:pt>
                <c:pt idx="114">
                  <c:v>24.914020746717942</c:v>
                </c:pt>
                <c:pt idx="115">
                  <c:v>25.105205293268629</c:v>
                </c:pt>
                <c:pt idx="116">
                  <c:v>25.307624727264283</c:v>
                </c:pt>
                <c:pt idx="117">
                  <c:v>25.521280002887092</c:v>
                </c:pt>
                <c:pt idx="118">
                  <c:v>25.746170107745151</c:v>
                </c:pt>
                <c:pt idx="119">
                  <c:v>25.982291770256129</c:v>
                </c:pt>
                <c:pt idx="120">
                  <c:v>26.229639152851917</c:v>
                </c:pt>
                <c:pt idx="121">
                  <c:v>26.488203531592863</c:v>
                </c:pt>
                <c:pt idx="122">
                  <c:v>26.75797296287406</c:v>
                </c:pt>
                <c:pt idx="123">
                  <c:v>27.038931938018713</c:v>
                </c:pt>
                <c:pt idx="124">
                  <c:v>27.331061026669083</c:v>
                </c:pt>
                <c:pt idx="125">
                  <c:v>27.634336510010804</c:v>
                </c:pt>
                <c:pt idx="126">
                  <c:v>27.948730005002474</c:v>
                </c:pt>
                <c:pt idx="127">
                  <c:v>28.274208080918346</c:v>
                </c:pt>
                <c:pt idx="128">
                  <c:v>28.610731869665052</c:v>
                </c:pt>
                <c:pt idx="129">
                  <c:v>28.958256671486271</c:v>
                </c:pt>
                <c:pt idx="130">
                  <c:v>29.316731557819981</c:v>
                </c:pt>
                <c:pt idx="131">
                  <c:v>29.686098973242004</c:v>
                </c:pt>
                <c:pt idx="132">
                  <c:v>30.066294338586509</c:v>
                </c:pt>
                <c:pt idx="133">
                  <c:v>30.457245657495235</c:v>
                </c:pt>
                <c:pt idx="134">
                  <c:v>30.858873128802557</c:v>
                </c:pt>
                <c:pt idx="135">
                  <c:v>31.271088767321789</c:v>
                </c:pt>
                <c:pt idx="136">
                  <c:v>31.693796035733065</c:v>
                </c:pt>
                <c:pt idx="137">
                  <c:v>32.126889490413532</c:v>
                </c:pt>
                <c:pt idx="138">
                  <c:v>32.570254444159801</c:v>
                </c:pt>
                <c:pt idx="139">
                  <c:v>33.023766648865625</c:v>
                </c:pt>
                <c:pt idx="140">
                  <c:v>33.487292001282896</c:v>
                </c:pt>
                <c:pt idx="141">
                  <c:v>33.96068627506331</c:v>
                </c:pt>
                <c:pt idx="142">
                  <c:v>34.443794882296103</c:v>
                </c:pt>
                <c:pt idx="143">
                  <c:v>34.936452667761529</c:v>
                </c:pt>
                <c:pt idx="144">
                  <c:v>35.438483739081441</c:v>
                </c:pt>
                <c:pt idx="145">
                  <c:v>35.949701335872994</c:v>
                </c:pt>
                <c:pt idx="146">
                  <c:v>36.469907740908667</c:v>
                </c:pt>
                <c:pt idx="147">
                  <c:v>36.998894236120435</c:v>
                </c:pt>
                <c:pt idx="148">
                  <c:v>37.536441106103211</c:v>
                </c:pt>
                <c:pt idx="149">
                  <c:v>38.082317691531557</c:v>
                </c:pt>
                <c:pt idx="150">
                  <c:v>38.636282494614321</c:v>
                </c:pt>
                <c:pt idx="151">
                  <c:v>39.198083338406313</c:v>
                </c:pt>
                <c:pt idx="152">
                  <c:v>39.767457581407086</c:v>
                </c:pt>
                <c:pt idx="153">
                  <c:v>40.344132388501748</c:v>
                </c:pt>
                <c:pt idx="154">
                  <c:v>40.927825058831672</c:v>
                </c:pt>
                <c:pt idx="155">
                  <c:v>41.51824341073722</c:v>
                </c:pt>
                <c:pt idx="156">
                  <c:v>42.115086223403338</c:v>
                </c:pt>
                <c:pt idx="157">
                  <c:v>42.718043734330003</c:v>
                </c:pt>
                <c:pt idx="158">
                  <c:v>43.326798191218018</c:v>
                </c:pt>
                <c:pt idx="159">
                  <c:v>43.941024456325778</c:v>
                </c:pt>
                <c:pt idx="160">
                  <c:v>44.560390660822257</c:v>
                </c:pt>
                <c:pt idx="161">
                  <c:v>45.184558906127847</c:v>
                </c:pt>
                <c:pt idx="162">
                  <c:v>45.813186008745127</c:v>
                </c:pt>
                <c:pt idx="163">
                  <c:v>46.445924284587193</c:v>
                </c:pt>
                <c:pt idx="164">
                  <c:v>47.082422368379106</c:v>
                </c:pt>
                <c:pt idx="165">
                  <c:v>47.722326063303179</c:v>
                </c:pt>
                <c:pt idx="166">
                  <c:v>48.365279215705733</c:v>
                </c:pt>
                <c:pt idx="167">
                  <c:v>49.01092460939222</c:v>
                </c:pt>
                <c:pt idx="168">
                  <c:v>49.658904873805838</c:v>
                </c:pt>
                <c:pt idx="169">
                  <c:v>50.308863400213561</c:v>
                </c:pt>
                <c:pt idx="170">
                  <c:v>50.960445259929841</c:v>
                </c:pt>
                <c:pt idx="171">
                  <c:v>51.613298118583572</c:v>
                </c:pt>
                <c:pt idx="172">
                  <c:v>52.26707314047713</c:v>
                </c:pt>
                <c:pt idx="173">
                  <c:v>52.921425877203276</c:v>
                </c:pt>
                <c:pt idx="174">
                  <c:v>53.576017134867577</c:v>
                </c:pt>
                <c:pt idx="175">
                  <c:v>54.230513814524336</c:v>
                </c:pt>
                <c:pt idx="176">
                  <c:v>54.884589720726197</c:v>
                </c:pt>
                <c:pt idx="177">
                  <c:v>55.537926333467553</c:v>
                </c:pt>
                <c:pt idx="178">
                  <c:v>56.190213539203583</c:v>
                </c:pt>
                <c:pt idx="179">
                  <c:v>56.841150317078473</c:v>
                </c:pt>
                <c:pt idx="180">
                  <c:v>57.490445376988312</c:v>
                </c:pt>
                <c:pt idx="181">
                  <c:v>58.137817746598273</c:v>
                </c:pt>
                <c:pt idx="182">
                  <c:v>58.782997304964283</c:v>
                </c:pt>
                <c:pt idx="183">
                  <c:v>59.425725260941064</c:v>
                </c:pt>
                <c:pt idx="184">
                  <c:v>60.065754575076689</c:v>
                </c:pt>
                <c:pt idx="185">
                  <c:v>60.702850324222247</c:v>
                </c:pt>
                <c:pt idx="186">
                  <c:v>61.336790008585758</c:v>
                </c:pt>
                <c:pt idx="187">
                  <c:v>61.967363801438417</c:v>
                </c:pt>
                <c:pt idx="188">
                  <c:v>62.594374742133482</c:v>
                </c:pt>
                <c:pt idx="189">
                  <c:v>63.217638873525196</c:v>
                </c:pt>
                <c:pt idx="190">
                  <c:v>63.836985325243866</c:v>
                </c:pt>
                <c:pt idx="191">
                  <c:v>64.452256344642265</c:v>
                </c:pt>
                <c:pt idx="192">
                  <c:v>65.063307277516429</c:v>
                </c:pt>
                <c:pt idx="193">
                  <c:v>65.670006500965798</c:v>
                </c:pt>
                <c:pt idx="194">
                  <c:v>66.272235310975205</c:v>
                </c:pt>
                <c:pt idx="195">
                  <c:v>66.869887767464476</c:v>
                </c:pt>
                <c:pt idx="196">
                  <c:v>67.462870499684627</c:v>
                </c:pt>
                <c:pt idx="197">
                  <c:v>68.051102474922999</c:v>
                </c:pt>
                <c:pt idx="198">
                  <c:v>68.634514733532967</c:v>
                </c:pt>
                <c:pt idx="199">
                  <c:v>69.213050093310045</c:v>
                </c:pt>
                <c:pt idx="200">
                  <c:v>69.786662826220748</c:v>
                </c:pt>
                <c:pt idx="201">
                  <c:v>70.355318310437497</c:v>
                </c:pt>
                <c:pt idx="202">
                  <c:v>70.918992660553755</c:v>
                </c:pt>
                <c:pt idx="203">
                  <c:v>71.47767233875534</c:v>
                </c:pt>
                <c:pt idx="204">
                  <c:v>72.031353749599461</c:v>
                </c:pt>
                <c:pt idx="205">
                  <c:v>72.580042820915949</c:v>
                </c:pt>
                <c:pt idx="206">
                  <c:v>73.123754573194532</c:v>
                </c:pt>
                <c:pt idx="207">
                  <c:v>73.662512679654228</c:v>
                </c:pt>
                <c:pt idx="208">
                  <c:v>74.196349019028219</c:v>
                </c:pt>
                <c:pt idx="209">
                  <c:v>74.725303222911464</c:v>
                </c:pt>
                <c:pt idx="210">
                  <c:v>75.249422219351686</c:v>
                </c:pt>
                <c:pt idx="211">
                  <c:v>75.768759774174413</c:v>
                </c:pt>
                <c:pt idx="212">
                  <c:v>76.28337603136103</c:v>
                </c:pt>
                <c:pt idx="213">
                  <c:v>76.793337053622992</c:v>
                </c:pt>
                <c:pt idx="214">
                  <c:v>77.298714364145937</c:v>
                </c:pt>
                <c:pt idx="215">
                  <c:v>77.799584490309357</c:v>
                </c:pt>
                <c:pt idx="216">
                  <c:v>78.296028510037701</c:v>
                </c:pt>
                <c:pt idx="217">
                  <c:v>78.78813160128179</c:v>
                </c:pt>
                <c:pt idx="218">
                  <c:v>79.275982594992712</c:v>
                </c:pt>
                <c:pt idx="219">
                  <c:v>79.759673531820582</c:v>
                </c:pt>
                <c:pt idx="220">
                  <c:v>80.239299222641478</c:v>
                </c:pt>
                <c:pt idx="221">
                  <c:v>80.714956812913826</c:v>
                </c:pt>
                <c:pt idx="222">
                  <c:v>81.186745350751465</c:v>
                </c:pt>
                <c:pt idx="223">
                  <c:v>81.654765358520123</c:v>
                </c:pt>
                <c:pt idx="224">
                  <c:v>82.119118407675856</c:v>
                </c:pt>
                <c:pt idx="225">
                  <c:v>82.579906696491776</c:v>
                </c:pt>
                <c:pt idx="226">
                  <c:v>83.037232630265478</c:v>
                </c:pt>
                <c:pt idx="227">
                  <c:v>83.491198403540125</c:v>
                </c:pt>
                <c:pt idx="228">
                  <c:v>83.941905583837254</c:v>
                </c:pt>
                <c:pt idx="229">
                  <c:v>84.38945469637099</c:v>
                </c:pt>
                <c:pt idx="230">
                  <c:v>84.833944809184658</c:v>
                </c:pt>
                <c:pt idx="231">
                  <c:v>85.275473118152007</c:v>
                </c:pt>
                <c:pt idx="232">
                  <c:v>85.714134531274723</c:v>
                </c:pt>
                <c:pt idx="233">
                  <c:v>86.150021251729569</c:v>
                </c:pt>
                <c:pt idx="234">
                  <c:v>86.583222359129394</c:v>
                </c:pt>
                <c:pt idx="235">
                  <c:v>87.013823388494743</c:v>
                </c:pt>
                <c:pt idx="236">
                  <c:v>87.4419059064832</c:v>
                </c:pt>
                <c:pt idx="237">
                  <c:v>87.867547084460128</c:v>
                </c:pt>
                <c:pt idx="238">
                  <c:v>88.290819268069271</c:v>
                </c:pt>
                <c:pt idx="239">
                  <c:v>88.711789543024295</c:v>
                </c:pt>
                <c:pt idx="240">
                  <c:v>89.130519296933073</c:v>
                </c:pt>
                <c:pt idx="241">
                  <c:v>89.547063777053836</c:v>
                </c:pt>
                <c:pt idx="242">
                  <c:v>89.961471643988261</c:v>
                </c:pt>
                <c:pt idx="243">
                  <c:v>90.373784521429982</c:v>
                </c:pt>
                <c:pt idx="244">
                  <c:v>90.784036542214182</c:v>
                </c:pt>
                <c:pt idx="245">
                  <c:v>91.192253891041858</c:v>
                </c:pt>
                <c:pt idx="246">
                  <c:v>91.598454344403152</c:v>
                </c:pt>
                <c:pt idx="247">
                  <c:v>92.002646808372617</c:v>
                </c:pt>
                <c:pt idx="248">
                  <c:v>92.404830855111712</c:v>
                </c:pt>
                <c:pt idx="249">
                  <c:v>92.804996259084575</c:v>
                </c:pt>
                <c:pt idx="250">
                  <c:v>93.203122534166383</c:v>
                </c:pt>
                <c:pt idx="251">
                  <c:v>93.599178473007882</c:v>
                </c:pt>
                <c:pt idx="252">
                  <c:v>93.993121690202599</c:v>
                </c:pt>
                <c:pt idx="253">
                  <c:v>94.384898170994688</c:v>
                </c:pt>
                <c:pt idx="254">
                  <c:v>94.774441827449465</c:v>
                </c:pt>
                <c:pt idx="255">
                  <c:v>95.161674064204419</c:v>
                </c:pt>
                <c:pt idx="256">
                  <c:v>95.54650335609125</c:v>
                </c:pt>
                <c:pt idx="257">
                  <c:v>95.928824840109598</c:v>
                </c:pt>
                <c:pt idx="258">
                  <c:v>96.308519924391973</c:v>
                </c:pt>
                <c:pt idx="259">
                  <c:v>96.685455916963306</c:v>
                </c:pt>
                <c:pt idx="260">
                  <c:v>97.059485677236651</c:v>
                </c:pt>
                <c:pt idx="261">
                  <c:v>97.430447293311644</c:v>
                </c:pt>
                <c:pt idx="262">
                  <c:v>97.798163788246228</c:v>
                </c:pt>
                <c:pt idx="263">
                  <c:v>98.162442858547877</c:v>
                </c:pt>
                <c:pt idx="264">
                  <c:v>98.523076648178431</c:v>
                </c:pt>
                <c:pt idx="265">
                  <c:v>98.879841561390236</c:v>
                </c:pt>
                <c:pt idx="266">
                  <c:v>99.23249811768811</c:v>
                </c:pt>
                <c:pt idx="267">
                  <c:v>99.580790852164995</c:v>
                </c:pt>
                <c:pt idx="268">
                  <c:v>99.924448264358787</c:v>
                </c:pt>
                <c:pt idx="269">
                  <c:v>100.2631828186545</c:v>
                </c:pt>
                <c:pt idx="270">
                  <c:v>100.59669099906711</c:v>
                </c:pt>
                <c:pt idx="271">
                  <c:v>100.92465342103608</c:v>
                </c:pt>
                <c:pt idx="272">
                  <c:v>101.24673500258089</c:v>
                </c:pt>
                <c:pt idx="273">
                  <c:v>101.56258519688419</c:v>
                </c:pt>
                <c:pt idx="274">
                  <c:v>101.87183828800268</c:v>
                </c:pt>
                <c:pt idx="275">
                  <c:v>102.17411375104169</c:v>
                </c:pt>
                <c:pt idx="276">
                  <c:v>102.46901667769231</c:v>
                </c:pt>
                <c:pt idx="277">
                  <c:v>102.75613826760022</c:v>
                </c:pt>
                <c:pt idx="278">
                  <c:v>103.03505638554839</c:v>
                </c:pt>
                <c:pt idx="279">
                  <c:v>103.30533618395096</c:v>
                </c:pt>
                <c:pt idx="280">
                  <c:v>103.56653078964671</c:v>
                </c:pt>
                <c:pt idx="281">
                  <c:v>103.81818205347652</c:v>
                </c:pt>
                <c:pt idx="282">
                  <c:v>104.05982136061502</c:v>
                </c:pt>
                <c:pt idx="283">
                  <c:v>104.29097049913625</c:v>
                </c:pt>
                <c:pt idx="284">
                  <c:v>104.51114258381024</c:v>
                </c:pt>
                <c:pt idx="285">
                  <c:v>104.7198430316853</c:v>
                </c:pt>
                <c:pt idx="286">
                  <c:v>104.91657058558232</c:v>
                </c:pt>
                <c:pt idx="287">
                  <c:v>105.10081838126679</c:v>
                </c:pt>
                <c:pt idx="288">
                  <c:v>105.2720750537259</c:v>
                </c:pt>
                <c:pt idx="289">
                  <c:v>105.42982587771887</c:v>
                </c:pt>
                <c:pt idx="290">
                  <c:v>105.57355393754553</c:v>
                </c:pt>
                <c:pt idx="291">
                  <c:v>105.70274132083503</c:v>
                </c:pt>
                <c:pt idx="292">
                  <c:v>105.816870331071</c:v>
                </c:pt>
                <c:pt idx="293">
                  <c:v>105.91542471354499</c:v>
                </c:pt>
                <c:pt idx="294">
                  <c:v>105.99789088948123</c:v>
                </c:pt>
                <c:pt idx="295">
                  <c:v>106.06375919317766</c:v>
                </c:pt>
                <c:pt idx="296">
                  <c:v>106.1125251071871</c:v>
                </c:pt>
                <c:pt idx="297">
                  <c:v>106.14369049077155</c:v>
                </c:pt>
                <c:pt idx="298">
                  <c:v>106.15676479714303</c:v>
                </c:pt>
                <c:pt idx="299">
                  <c:v>106.15126627532501</c:v>
                </c:pt>
                <c:pt idx="300">
                  <c:v>106.12672315280277</c:v>
                </c:pt>
                <c:pt idx="301">
                  <c:v>106.08267479552165</c:v>
                </c:pt>
                <c:pt idx="302">
                  <c:v>106.01867284217623</c:v>
                </c:pt>
                <c:pt idx="303">
                  <c:v>105.93428231014749</c:v>
                </c:pt>
                <c:pt idx="304">
                  <c:v>105.82908267082644</c:v>
                </c:pt>
                <c:pt idx="305">
                  <c:v>105.7026688924803</c:v>
                </c:pt>
                <c:pt idx="306">
                  <c:v>105.5546524491679</c:v>
                </c:pt>
                <c:pt idx="307">
                  <c:v>105.38466229457845</c:v>
                </c:pt>
                <c:pt idx="308">
                  <c:v>105.1923457999689</c:v>
                </c:pt>
                <c:pt idx="309">
                  <c:v>104.97736965565667</c:v>
                </c:pt>
                <c:pt idx="310">
                  <c:v>104.73942073575751</c:v>
                </c:pt>
                <c:pt idx="311">
                  <c:v>104.47820692603695</c:v>
                </c:pt>
                <c:pt idx="312">
                  <c:v>104.1934579148667</c:v>
                </c:pt>
                <c:pt idx="313">
                  <c:v>103.8849259473713</c:v>
                </c:pt>
                <c:pt idx="314">
                  <c:v>103.55238654284686</c:v>
                </c:pt>
                <c:pt idx="315">
                  <c:v>103.19563917552256</c:v>
                </c:pt>
                <c:pt idx="316">
                  <c:v>102.81450791862825</c:v>
                </c:pt>
                <c:pt idx="317">
                  <c:v>102.40884205161629</c:v>
                </c:pt>
                <c:pt idx="318">
                  <c:v>101.97851663018707</c:v>
                </c:pt>
                <c:pt idx="319">
                  <c:v>101.52343301855194</c:v>
                </c:pt>
                <c:pt idx="320">
                  <c:v>101.04351938310897</c:v>
                </c:pt>
                <c:pt idx="321">
                  <c:v>100.53873114641688</c:v>
                </c:pt>
                <c:pt idx="322">
                  <c:v>100.00905140005057</c:v>
                </c:pt>
                <c:pt idx="323">
                  <c:v>99.454491274587696</c:v>
                </c:pt>
                <c:pt idx="324">
                  <c:v>98.875090264662347</c:v>
                </c:pt>
                <c:pt idx="325">
                  <c:v>98.270916506689616</c:v>
                </c:pt>
                <c:pt idx="326">
                  <c:v>97.642067006552196</c:v>
                </c:pt>
                <c:pt idx="327">
                  <c:v>96.988667814260978</c:v>
                </c:pt>
                <c:pt idx="328">
                  <c:v>96.310874142321921</c:v>
                </c:pt>
                <c:pt idx="329">
                  <c:v>95.608870424345241</c:v>
                </c:pt>
                <c:pt idx="330">
                  <c:v>94.882870310232775</c:v>
                </c:pt>
                <c:pt idx="331">
                  <c:v>94.133116594180848</c:v>
                </c:pt>
                <c:pt idx="332">
                  <c:v>93.359881071670756</c:v>
                </c:pt>
                <c:pt idx="333">
                  <c:v>92.563464321615712</c:v>
                </c:pt>
                <c:pt idx="334">
                  <c:v>91.744195409947025</c:v>
                </c:pt>
                <c:pt idx="335">
                  <c:v>90.902431511048079</c:v>
                </c:pt>
                <c:pt idx="336">
                  <c:v>90.038557443720592</c:v>
                </c:pt>
                <c:pt idx="337">
                  <c:v>89.152985118653064</c:v>
                </c:pt>
                <c:pt idx="338">
                  <c:v>88.246152894799607</c:v>
                </c:pt>
                <c:pt idx="339">
                  <c:v>87.318524842542317</c:v>
                </c:pt>
                <c:pt idx="340">
                  <c:v>86.370589912070329</c:v>
                </c:pt>
                <c:pt idx="341">
                  <c:v>85.402861006054792</c:v>
                </c:pt>
                <c:pt idx="342">
                  <c:v>84.415873956378647</c:v>
                </c:pt>
                <c:pt idx="343">
                  <c:v>83.410186405453217</c:v>
                </c:pt>
                <c:pt idx="344">
                  <c:v>82.386376593441824</c:v>
                </c:pt>
                <c:pt idx="345">
                  <c:v>81.345042053558032</c:v>
                </c:pt>
                <c:pt idx="346">
                  <c:v>80.28679821847085</c:v>
                </c:pt>
                <c:pt idx="347">
                  <c:v>79.212276941722521</c:v>
                </c:pt>
                <c:pt idx="348">
                  <c:v>78.122124938936977</c:v>
                </c:pt>
                <c:pt idx="349">
                  <c:v>77.017002154464393</c:v>
                </c:pt>
                <c:pt idx="350">
                  <c:v>75.897580059926398</c:v>
                </c:pt>
                <c:pt idx="351">
                  <c:v>74.764539891909124</c:v>
                </c:pt>
                <c:pt idx="352">
                  <c:v>73.618570836783064</c:v>
                </c:pt>
                <c:pt idx="353">
                  <c:v>72.460368171281615</c:v>
                </c:pt>
                <c:pt idx="354">
                  <c:v>71.290631368013337</c:v>
                </c:pt>
                <c:pt idx="355">
                  <c:v>70.110062175615155</c:v>
                </c:pt>
                <c:pt idx="356">
                  <c:v>68.919362683552094</c:v>
                </c:pt>
                <c:pt idx="357">
                  <c:v>67.719233381895393</c:v>
                </c:pt>
                <c:pt idx="358">
                  <c:v>66.510371226516071</c:v>
                </c:pt>
                <c:pt idx="359">
                  <c:v>65.293467720172956</c:v>
                </c:pt>
                <c:pt idx="360">
                  <c:v>64.069207019874824</c:v>
                </c:pt>
                <c:pt idx="361">
                  <c:v>62.838264080701819</c:v>
                </c:pt>
                <c:pt idx="362">
                  <c:v>61.601302845914716</c:v>
                </c:pt>
                <c:pt idx="363">
                  <c:v>60.358974492775026</c:v>
                </c:pt>
                <c:pt idx="364">
                  <c:v>59.111915742937676</c:v>
                </c:pt>
                <c:pt idx="365">
                  <c:v>57.860747245674645</c:v>
                </c:pt>
                <c:pt idx="366">
                  <c:v>56.606072041434452</c:v>
                </c:pt>
                <c:pt idx="367">
                  <c:v>55.348474112507517</c:v>
                </c:pt>
                <c:pt idx="368">
                  <c:v>54.088517026684677</c:v>
                </c:pt>
                <c:pt idx="369">
                  <c:v>52.826742678944669</c:v>
                </c:pt>
                <c:pt idx="370">
                  <c:v>51.563670135267941</c:v>
                </c:pt>
                <c:pt idx="371">
                  <c:v>50.299794581760743</c:v>
                </c:pt>
                <c:pt idx="372">
                  <c:v>49.035586381329637</c:v>
                </c:pt>
                <c:pt idx="373">
                  <c:v>47.771490239234716</c:v>
                </c:pt>
                <c:pt idx="374">
                  <c:v>46.507924477937721</c:v>
                </c:pt>
                <c:pt idx="375">
                  <c:v>45.245280420811859</c:v>
                </c:pt>
                <c:pt idx="376">
                  <c:v>43.98392188344345</c:v>
                </c:pt>
                <c:pt idx="377">
                  <c:v>42.724184770502603</c:v>
                </c:pt>
                <c:pt idx="378">
                  <c:v>41.466376775443514</c:v>
                </c:pt>
                <c:pt idx="379">
                  <c:v>40.210777179663239</c:v>
                </c:pt>
                <c:pt idx="380">
                  <c:v>38.957636747171755</c:v>
                </c:pt>
                <c:pt idx="381">
                  <c:v>37.707177710343835</c:v>
                </c:pt>
                <c:pt idx="382">
                  <c:v>36.459593841897522</c:v>
                </c:pt>
                <c:pt idx="383">
                  <c:v>35.215050607905695</c:v>
                </c:pt>
                <c:pt idx="384">
                  <c:v>33.973685396393009</c:v>
                </c:pt>
                <c:pt idx="385">
                  <c:v>32.73560781586766</c:v>
                </c:pt>
                <c:pt idx="386">
                  <c:v>31.500900058036613</c:v>
                </c:pt>
                <c:pt idx="387">
                  <c:v>30.269617318886965</c:v>
                </c:pt>
                <c:pt idx="388">
                  <c:v>29.041788272349145</c:v>
                </c:pt>
                <c:pt idx="389">
                  <c:v>27.817415590820467</c:v>
                </c:pt>
                <c:pt idx="390">
                  <c:v>26.596476506963771</c:v>
                </c:pt>
                <c:pt idx="391">
                  <c:v>25.378923411371439</c:v>
                </c:pt>
                <c:pt idx="392">
                  <c:v>24.164684480906633</c:v>
                </c:pt>
                <c:pt idx="393">
                  <c:v>22.953664332803964</c:v>
                </c:pt>
                <c:pt idx="394">
                  <c:v>21.745744699889237</c:v>
                </c:pt>
                <c:pt idx="395">
                  <c:v>20.540785122618043</c:v>
                </c:pt>
                <c:pt idx="396">
                  <c:v>19.338623653970973</c:v>
                </c:pt>
                <c:pt idx="397">
                  <c:v>18.13907757360797</c:v>
                </c:pt>
                <c:pt idx="398">
                  <c:v>16.941944108069443</c:v>
                </c:pt>
                <c:pt idx="399">
                  <c:v>15.747001154200248</c:v>
                </c:pt>
                <c:pt idx="400">
                  <c:v>14.554008003382037</c:v>
                </c:pt>
                <c:pt idx="401">
                  <c:v>13.362706064555825</c:v>
                </c:pt>
                <c:pt idx="402">
                  <c:v>12.172819584438505</c:v>
                </c:pt>
                <c:pt idx="403">
                  <c:v>10.984056363744841</c:v>
                </c:pt>
                <c:pt idx="404">
                  <c:v>9.7961084686394742</c:v>
                </c:pt>
                <c:pt idx="405">
                  <c:v>8.6086529370643383</c:v>
                </c:pt>
                <c:pt idx="406">
                  <c:v>7.4213524799904507</c:v>
                </c:pt>
                <c:pt idx="407">
                  <c:v>6.2338561780626351</c:v>
                </c:pt>
                <c:pt idx="408">
                  <c:v>5.0458001745082273</c:v>
                </c:pt>
                <c:pt idx="409">
                  <c:v>3.8568083655948229</c:v>
                </c:pt>
                <c:pt idx="410">
                  <c:v>2.6664930903267616</c:v>
                </c:pt>
                <c:pt idx="411">
                  <c:v>1.4744558214758896</c:v>
                </c:pt>
                <c:pt idx="412">
                  <c:v>0.28028786044685994</c:v>
                </c:pt>
                <c:pt idx="413">
                  <c:v>-0.91642896111734606</c:v>
                </c:pt>
                <c:pt idx="414">
                  <c:v>-2.1161215696801357</c:v>
                </c:pt>
                <c:pt idx="415">
                  <c:v>-3.3192249243976453</c:v>
                </c:pt>
                <c:pt idx="416">
                  <c:v>-4.5261812738337177</c:v>
                </c:pt>
                <c:pt idx="417">
                  <c:v>-5.7374393902972969</c:v>
                </c:pt>
                <c:pt idx="418">
                  <c:v>-6.9534537768989981</c:v>
                </c:pt>
                <c:pt idx="419">
                  <c:v>-8.1746838420478323</c:v>
                </c:pt>
                <c:pt idx="420">
                  <c:v>-9.4015930357284319</c:v>
                </c:pt>
                <c:pt idx="421">
                  <c:v>-10.634647941547888</c:v>
                </c:pt>
                <c:pt idx="422">
                  <c:v>-11.874317318200852</c:v>
                </c:pt>
                <c:pt idx="423">
                  <c:v>-13.121071083710889</c:v>
                </c:pt>
                <c:pt idx="424">
                  <c:v>-14.375379235515187</c:v>
                </c:pt>
                <c:pt idx="425">
                  <c:v>-15.637710699268951</c:v>
                </c:pt>
                <c:pt idx="426">
                  <c:v>-16.908532099071447</c:v>
                </c:pt>
                <c:pt idx="427">
                  <c:v>-18.188306441732621</c:v>
                </c:pt>
                <c:pt idx="428">
                  <c:v>-19.47749170773012</c:v>
                </c:pt>
                <c:pt idx="429">
                  <c:v>-20.776539341613365</c:v>
                </c:pt>
                <c:pt idx="430">
                  <c:v>-22.085892634865587</c:v>
                </c:pt>
                <c:pt idx="431">
                  <c:v>-23.405984994662528</c:v>
                </c:pt>
                <c:pt idx="432">
                  <c:v>-24.73723809253757</c:v>
                </c:pt>
                <c:pt idx="433">
                  <c:v>-26.080059887784738</c:v>
                </c:pt>
                <c:pt idx="434">
                  <c:v>-27.434842521441713</c:v>
                </c:pt>
                <c:pt idx="435">
                  <c:v>-28.801960078010037</c:v>
                </c:pt>
                <c:pt idx="436">
                  <c:v>-30.18176621365124</c:v>
                </c:pt>
                <c:pt idx="437">
                  <c:v>-31.574591651497347</c:v>
                </c:pt>
                <c:pt idx="438">
                  <c:v>-32.980741546964886</c:v>
                </c:pt>
                <c:pt idx="439">
                  <c:v>-34.400492728554006</c:v>
                </c:pt>
                <c:pt idx="440">
                  <c:v>-35.834090822584152</c:v>
                </c:pt>
                <c:pt idx="441">
                  <c:v>-37.281747273664472</c:v>
                </c:pt>
                <c:pt idx="442">
                  <c:v>-38.743636276373216</c:v>
                </c:pt>
                <c:pt idx="443">
                  <c:v>-40.219891637679176</c:v>
                </c:pt>
                <c:pt idx="444">
                  <c:v>-41.710603593951468</c:v>
                </c:pt>
                <c:pt idx="445">
                  <c:v>-43.215815610974822</c:v>
                </c:pt>
                <c:pt idx="446">
                  <c:v>-44.735521200107492</c:v>
                </c:pt>
                <c:pt idx="447">
                  <c:v>-46.269660788487684</c:v>
                </c:pt>
                <c:pt idx="448">
                  <c:v>-47.818118685874843</c:v>
                </c:pt>
                <c:pt idx="449">
                  <c:v>-49.380720195177368</c:v>
                </c:pt>
                <c:pt idx="450">
                  <c:v>-50.957228917749696</c:v>
                </c:pt>
                <c:pt idx="451">
                  <c:v>-52.547344307981817</c:v>
                </c:pt>
                <c:pt idx="452">
                  <c:v>-54.150699534326222</c:v>
                </c:pt>
                <c:pt idx="453">
                  <c:v>-55.766859705493722</c:v>
                </c:pt>
                <c:pt idx="454">
                  <c:v>-57.395320520880468</c:v>
                </c:pt>
                <c:pt idx="455">
                  <c:v>-59.035507403185377</c:v>
                </c:pt>
                <c:pt idx="456">
                  <c:v>-60.686775168418094</c:v>
                </c:pt>
                <c:pt idx="457">
                  <c:v>-62.348408284010851</c:v>
                </c:pt>
                <c:pt idx="458">
                  <c:v>-64.019621759359495</c:v>
                </c:pt>
                <c:pt idx="459">
                  <c:v>-65.699562704907081</c:v>
                </c:pt>
                <c:pt idx="460">
                  <c:v>-67.387312585830955</c:v>
                </c:pt>
                <c:pt idx="461">
                  <c:v>-69.081890184681455</c:v>
                </c:pt>
                <c:pt idx="462">
                  <c:v>-70.782255274180599</c:v>
                </c:pt>
                <c:pt idx="463">
                  <c:v>-72.487312987131702</c:v>
                </c:pt>
                <c:pt idx="464">
                  <c:v>-74.19591885542863</c:v>
                </c:pt>
                <c:pt idx="465">
                  <c:v>-75.906884474960478</c:v>
                </c:pt>
                <c:pt idx="466">
                  <c:v>-77.618983738314469</c:v>
                </c:pt>
                <c:pt idx="467">
                  <c:v>-79.330959563101359</c:v>
                </c:pt>
                <c:pt idx="468">
                  <c:v>-81.041531031066725</c:v>
                </c:pt>
                <c:pt idx="469">
                  <c:v>-82.749400842362164</c:v>
                </c:pt>
                <c:pt idx="470">
                  <c:v>-84.45326298092786</c:v>
                </c:pt>
                <c:pt idx="471">
                  <c:v>-86.151810481218163</c:v>
                </c:pt>
                <c:pt idx="472">
                  <c:v>-87.843743183738653</c:v>
                </c:pt>
                <c:pt idx="473">
                  <c:v>-89.527775367203077</c:v>
                </c:pt>
                <c:pt idx="474">
                  <c:v>-91.202643148496492</c:v>
                </c:pt>
                <c:pt idx="475">
                  <c:v>-92.867111547948284</c:v>
                </c:pt>
                <c:pt idx="476">
                  <c:v>-94.519981126382788</c:v>
                </c:pt>
                <c:pt idx="477">
                  <c:v>-96.16009411162554</c:v>
                </c:pt>
                <c:pt idx="478">
                  <c:v>-97.786339945169061</c:v>
                </c:pt>
                <c:pt idx="479">
                  <c:v>-99.397660193992607</c:v>
                </c:pt>
                <c:pt idx="480">
                  <c:v>-100.99305278754814</c:v>
                </c:pt>
                <c:pt idx="481">
                  <c:v>-102.57157555512281</c:v>
                </c:pt>
                <c:pt idx="482">
                  <c:v>-104.13234905366082</c:v>
                </c:pt>
                <c:pt idx="483">
                  <c:v>-105.67455869018522</c:v>
                </c:pt>
                <c:pt idx="484">
                  <c:v>-107.19745615586187</c:v>
                </c:pt>
                <c:pt idx="485">
                  <c:v>-108.70036020013157</c:v>
                </c:pt>
                <c:pt idx="486">
                  <c:v>-110.18265678304481</c:v>
                </c:pt>
                <c:pt idx="487">
                  <c:v>-111.64379865178863</c:v>
                </c:pt>
                <c:pt idx="488">
                  <c:v>-113.08330439338538</c:v>
                </c:pt>
                <c:pt idx="489">
                  <c:v>-114.50075701970971</c:v>
                </c:pt>
                <c:pt idx="490">
                  <c:v>-115.89580214336267</c:v>
                </c:pt>
                <c:pt idx="491">
                  <c:v>-117.268145803777</c:v>
                </c:pt>
                <c:pt idx="492">
                  <c:v>-118.61755200231849</c:v>
                </c:pt>
                <c:pt idx="493">
                  <c:v>-119.9438400033642</c:v>
                </c:pt>
                <c:pt idx="494">
                  <c:v>-121.24688145553431</c:v>
                </c:pt>
                <c:pt idx="495">
                  <c:v>-122.52659738371608</c:v>
                </c:pt>
                <c:pt idx="496">
                  <c:v>-123.78295509837351</c:v>
                </c:pt>
                <c:pt idx="497">
                  <c:v>-125.01596506416507</c:v>
                </c:pt>
                <c:pt idx="498">
                  <c:v>-126.22567776517705</c:v>
                </c:pt>
                <c:pt idx="499">
                  <c:v>-127.41218059934251</c:v>
                </c:pt>
                <c:pt idx="500">
                  <c:v>-128.57559482994893</c:v>
                </c:pt>
                <c:pt idx="501">
                  <c:v>-129.71607261762006</c:v>
                </c:pt>
                <c:pt idx="502">
                  <c:v>-130.83379415192277</c:v>
                </c:pt>
                <c:pt idx="503">
                  <c:v>-131.92896489779457</c:v>
                </c:pt>
                <c:pt idx="504">
                  <c:v>-133.00181296838775</c:v>
                </c:pt>
                <c:pt idx="505">
                  <c:v>-134.05258663269129</c:v>
                </c:pt>
                <c:pt idx="506">
                  <c:v>-135.08155196341184</c:v>
                </c:pt>
                <c:pt idx="507">
                  <c:v>-136.0889906281013</c:v>
                </c:pt>
                <c:pt idx="508">
                  <c:v>-137.07519782436546</c:v>
                </c:pt>
                <c:pt idx="509">
                  <c:v>-138.04048035816731</c:v>
                </c:pt>
                <c:pt idx="510">
                  <c:v>-138.98515486273459</c:v>
                </c:pt>
                <c:pt idx="511">
                  <c:v>-139.90954615436294</c:v>
                </c:pt>
                <c:pt idx="512">
                  <c:v>-140.81398572042517</c:v>
                </c:pt>
                <c:pt idx="513">
                  <c:v>-141.69881033417221</c:v>
                </c:pt>
                <c:pt idx="514">
                  <c:v>-142.56436079035589</c:v>
                </c:pt>
                <c:pt idx="515">
                  <c:v>-143.41098075534092</c:v>
                </c:pt>
                <c:pt idx="516">
                  <c:v>-144.23901572515342</c:v>
                </c:pt>
                <c:pt idx="517">
                  <c:v>-145.04881208480683</c:v>
                </c:pt>
                <c:pt idx="518">
                  <c:v>-145.8407162622608</c:v>
                </c:pt>
                <c:pt idx="519">
                  <c:v>-146.61507397044878</c:v>
                </c:pt>
                <c:pt idx="520">
                  <c:v>-147.37222953097231</c:v>
                </c:pt>
                <c:pt idx="521">
                  <c:v>-148.11252527326479</c:v>
                </c:pt>
                <c:pt idx="522">
                  <c:v>-148.83630100327272</c:v>
                </c:pt>
                <c:pt idx="523">
                  <c:v>-149.54389353598447</c:v>
                </c:pt>
                <c:pt idx="524">
                  <c:v>-150.2356362864289</c:v>
                </c:pt>
                <c:pt idx="525">
                  <c:v>-150.91185891406889</c:v>
                </c:pt>
                <c:pt idx="526">
                  <c:v>-151.57288701583389</c:v>
                </c:pt>
                <c:pt idx="527">
                  <c:v>-152.21904186334191</c:v>
                </c:pt>
                <c:pt idx="528">
                  <c:v>-152.85064018016701</c:v>
                </c:pt>
                <c:pt idx="529">
                  <c:v>-153.4679939553213</c:v>
                </c:pt>
                <c:pt idx="530">
                  <c:v>-154.07141028938005</c:v>
                </c:pt>
                <c:pt idx="531">
                  <c:v>-154.66119126999646</c:v>
                </c:pt>
                <c:pt idx="532">
                  <c:v>-155.23763387377491</c:v>
                </c:pt>
                <c:pt idx="533">
                  <c:v>-155.80102989175646</c:v>
                </c:pt>
                <c:pt idx="534">
                  <c:v>-156.35166587597828</c:v>
                </c:pt>
                <c:pt idx="535">
                  <c:v>-156.88982310480569</c:v>
                </c:pt>
                <c:pt idx="536">
                  <c:v>-157.41577756493359</c:v>
                </c:pt>
                <c:pt idx="537">
                  <c:v>-157.92979994814812</c:v>
                </c:pt>
                <c:pt idx="538">
                  <c:v>-158.43215566111297</c:v>
                </c:pt>
                <c:pt idx="539">
                  <c:v>-158.92310484661061</c:v>
                </c:pt>
                <c:pt idx="540">
                  <c:v>-159.40290241481978</c:v>
                </c:pt>
                <c:pt idx="541">
                  <c:v>-159.8717980833471</c:v>
                </c:pt>
              </c:numCache>
            </c:numRef>
          </c:yVal>
          <c:smooth val="1"/>
          <c:extLst>
            <c:ext xmlns:c16="http://schemas.microsoft.com/office/drawing/2014/chart" uri="{C3380CC4-5D6E-409C-BE32-E72D297353CC}">
              <c16:uniqueId val="{00000001-7AB1-42AA-8DBD-6D7B5452EF93}"/>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43.677755753422041</c:v>
                </c:pt>
                <c:pt idx="1">
                  <c:v>43.636023601850901</c:v>
                </c:pt>
                <c:pt idx="2">
                  <c:v>43.592750272830322</c:v>
                </c:pt>
                <c:pt idx="3">
                  <c:v>43.547894982787994</c:v>
                </c:pt>
                <c:pt idx="4">
                  <c:v>43.501417051482186</c:v>
                </c:pt>
                <c:pt idx="5">
                  <c:v>43.453275995813485</c:v>
                </c:pt>
                <c:pt idx="6">
                  <c:v>43.403431627715847</c:v>
                </c:pt>
                <c:pt idx="7">
                  <c:v>43.351844155806624</c:v>
                </c:pt>
                <c:pt idx="8">
                  <c:v>43.29847429042448</c:v>
                </c:pt>
                <c:pt idx="9">
                  <c:v>43.243283351628577</c:v>
                </c:pt>
                <c:pt idx="10">
                  <c:v>43.186233379682342</c:v>
                </c:pt>
                <c:pt idx="11">
                  <c:v>43.127287247493264</c:v>
                </c:pt>
                <c:pt idx="12">
                  <c:v>43.066408774430812</c:v>
                </c:pt>
                <c:pt idx="13">
                  <c:v>43.003562840902063</c:v>
                </c:pt>
                <c:pt idx="14">
                  <c:v>42.938715503020298</c:v>
                </c:pt>
                <c:pt idx="15">
                  <c:v>42.87183410666821</c:v>
                </c:pt>
                <c:pt idx="16">
                  <c:v>42.802887400226609</c:v>
                </c:pt>
                <c:pt idx="17">
                  <c:v>42.731845645215557</c:v>
                </c:pt>
                <c:pt idx="18">
                  <c:v>42.658680724080071</c:v>
                </c:pt>
                <c:pt idx="19">
                  <c:v>42.583366244344688</c:v>
                </c:pt>
                <c:pt idx="20">
                  <c:v>42.505877638362279</c:v>
                </c:pt>
                <c:pt idx="21">
                  <c:v>42.426192257893248</c:v>
                </c:pt>
                <c:pt idx="22">
                  <c:v>42.34428946277086</c:v>
                </c:pt>
                <c:pt idx="23">
                  <c:v>42.260150702938162</c:v>
                </c:pt>
                <c:pt idx="24">
                  <c:v>42.173759593182055</c:v>
                </c:pt>
                <c:pt idx="25">
                  <c:v>42.085101979935843</c:v>
                </c:pt>
                <c:pt idx="26">
                  <c:v>41.994165999582137</c:v>
                </c:pt>
                <c:pt idx="27">
                  <c:v>41.900942127750852</c:v>
                </c:pt>
                <c:pt idx="28">
                  <c:v>41.80542321918071</c:v>
                </c:pt>
                <c:pt idx="29">
                  <c:v>41.707604537792527</c:v>
                </c:pt>
                <c:pt idx="30">
                  <c:v>41.607483776705735</c:v>
                </c:pt>
                <c:pt idx="31">
                  <c:v>41.505061068019828</c:v>
                </c:pt>
                <c:pt idx="32">
                  <c:v>41.40033898227184</c:v>
                </c:pt>
                <c:pt idx="33">
                  <c:v>41.293322517576279</c:v>
                </c:pt>
                <c:pt idx="34">
                  <c:v>41.184019078543471</c:v>
                </c:pt>
                <c:pt idx="35">
                  <c:v>41.072438445166448</c:v>
                </c:pt>
                <c:pt idx="36">
                  <c:v>40.958592731952351</c:v>
                </c:pt>
                <c:pt idx="37">
                  <c:v>40.842496337660144</c:v>
                </c:pt>
                <c:pt idx="38">
                  <c:v>40.724165886083426</c:v>
                </c:pt>
                <c:pt idx="39">
                  <c:v>40.603620158390811</c:v>
                </c:pt>
                <c:pt idx="40">
                  <c:v>40.4808800176001</c:v>
                </c:pt>
                <c:pt idx="41">
                  <c:v>40.355968325817713</c:v>
                </c:pt>
                <c:pt idx="42">
                  <c:v>40.228909854925405</c:v>
                </c:pt>
                <c:pt idx="43">
                  <c:v>40.099731191429981</c:v>
                </c:pt>
                <c:pt idx="44">
                  <c:v>39.96846063622452</c:v>
                </c:pt>
                <c:pt idx="45">
                  <c:v>39.835128100026097</c:v>
                </c:pt>
                <c:pt idx="46">
                  <c:v>39.699764995264132</c:v>
                </c:pt>
                <c:pt idx="47">
                  <c:v>39.562404125196721</c:v>
                </c:pt>
                <c:pt idx="48">
                  <c:v>39.423079571019841</c:v>
                </c:pt>
                <c:pt idx="49">
                  <c:v>39.28182657772134</c:v>
                </c:pt>
                <c:pt idx="50">
                  <c:v>39.138681439405353</c:v>
                </c:pt>
                <c:pt idx="51">
                  <c:v>38.993681384782853</c:v>
                </c:pt>
                <c:pt idx="52">
                  <c:v>38.846864463487627</c:v>
                </c:pt>
                <c:pt idx="53">
                  <c:v>38.698269433835094</c:v>
                </c:pt>
                <c:pt idx="54">
                  <c:v>38.547935652595896</c:v>
                </c:pt>
                <c:pt idx="55">
                  <c:v>38.395902967307542</c:v>
                </c:pt>
                <c:pt idx="56">
                  <c:v>38.242211611596019</c:v>
                </c:pt>
                <c:pt idx="57">
                  <c:v>38.086902103927763</c:v>
                </c:pt>
                <c:pt idx="58">
                  <c:v>37.93001515015775</c:v>
                </c:pt>
                <c:pt idx="59">
                  <c:v>37.771591550188731</c:v>
                </c:pt>
                <c:pt idx="60">
                  <c:v>37.611672109002214</c:v>
                </c:pt>
                <c:pt idx="61">
                  <c:v>37.450297552272957</c:v>
                </c:pt>
                <c:pt idx="62">
                  <c:v>37.287508446729284</c:v>
                </c:pt>
                <c:pt idx="63">
                  <c:v>37.123345125374563</c:v>
                </c:pt>
                <c:pt idx="64">
                  <c:v>36.957847617642869</c:v>
                </c:pt>
                <c:pt idx="65">
                  <c:v>36.791055584519611</c:v>
                </c:pt>
                <c:pt idx="66">
                  <c:v>36.623008258621951</c:v>
                </c:pt>
                <c:pt idx="67">
                  <c:v>36.453744389198974</c:v>
                </c:pt>
                <c:pt idx="68">
                  <c:v>36.283302191980013</c:v>
                </c:pt>
                <c:pt idx="69">
                  <c:v>36.111719303774642</c:v>
                </c:pt>
                <c:pt idx="70">
                  <c:v>35.939032741701247</c:v>
                </c:pt>
                <c:pt idx="71">
                  <c:v>35.765278866902641</c:v>
                </c:pt>
                <c:pt idx="72">
                  <c:v>35.590493352588688</c:v>
                </c:pt>
                <c:pt idx="73">
                  <c:v>35.414711156231533</c:v>
                </c:pt>
                <c:pt idx="74">
                  <c:v>35.237966495728784</c:v>
                </c:pt>
                <c:pt idx="75">
                  <c:v>35.060292829339225</c:v>
                </c:pt>
                <c:pt idx="76">
                  <c:v>34.881722839191994</c:v>
                </c:pt>
                <c:pt idx="77">
                  <c:v>34.702288418163</c:v>
                </c:pt>
                <c:pt idx="78">
                  <c:v>34.522020659913252</c:v>
                </c:pt>
                <c:pt idx="79">
                  <c:v>34.340949851882108</c:v>
                </c:pt>
                <c:pt idx="80">
                  <c:v>34.159105471030109</c:v>
                </c:pt>
                <c:pt idx="81">
                  <c:v>33.976516182129323</c:v>
                </c:pt>
                <c:pt idx="82">
                  <c:v>33.79320983840357</c:v>
                </c:pt>
                <c:pt idx="83">
                  <c:v>33.609213484324826</c:v>
                </c:pt>
                <c:pt idx="84">
                  <c:v>33.424553360380187</c:v>
                </c:pt>
                <c:pt idx="85">
                  <c:v>33.239254909628876</c:v>
                </c:pt>
                <c:pt idx="86">
                  <c:v>33.053342785876637</c:v>
                </c:pt>
                <c:pt idx="87">
                  <c:v>32.866840863303878</c:v>
                </c:pt>
                <c:pt idx="88">
                  <c:v>32.679772247389501</c:v>
                </c:pt>
                <c:pt idx="89">
                  <c:v>32.492159286983707</c:v>
                </c:pt>
                <c:pt idx="90">
                  <c:v>32.304023587388841</c:v>
                </c:pt>
                <c:pt idx="91">
                  <c:v>32.115386024317559</c:v>
                </c:pt>
                <c:pt idx="92">
                  <c:v>31.926266758605664</c:v>
                </c:pt>
                <c:pt idx="93">
                  <c:v>31.736685251563827</c:v>
                </c:pt>
                <c:pt idx="94">
                  <c:v>31.546660280862937</c:v>
                </c:pt>
                <c:pt idx="95">
                  <c:v>31.356209956853771</c:v>
                </c:pt>
                <c:pt idx="96">
                  <c:v>31.165351739229781</c:v>
                </c:pt>
                <c:pt idx="97">
                  <c:v>30.974102453950131</c:v>
                </c:pt>
                <c:pt idx="98">
                  <c:v>30.782478310345383</c:v>
                </c:pt>
                <c:pt idx="99">
                  <c:v>30.590494918336827</c:v>
                </c:pt>
                <c:pt idx="100">
                  <c:v>30.398167305705538</c:v>
                </c:pt>
                <c:pt idx="101">
                  <c:v>30.205509935353604</c:v>
                </c:pt>
                <c:pt idx="102">
                  <c:v>30.012536722506621</c:v>
                </c:pt>
                <c:pt idx="103">
                  <c:v>29.819261051810035</c:v>
                </c:pt>
                <c:pt idx="104">
                  <c:v>29.625695794279132</c:v>
                </c:pt>
                <c:pt idx="105">
                  <c:v>29.431853324065436</c:v>
                </c:pt>
                <c:pt idx="106">
                  <c:v>29.237745535008024</c:v>
                </c:pt>
                <c:pt idx="107">
                  <c:v>29.043383856940675</c:v>
                </c:pt>
                <c:pt idx="108">
                  <c:v>28.848779271732298</c:v>
                </c:pt>
                <c:pt idx="109">
                  <c:v>28.653942329037822</c:v>
                </c:pt>
                <c:pt idx="110">
                  <c:v>28.458883161743852</c:v>
                </c:pt>
                <c:pt idx="111">
                  <c:v>28.263611501093354</c:v>
                </c:pt>
                <c:pt idx="112">
                  <c:v>28.068136691478209</c:v>
                </c:pt>
                <c:pt idx="113">
                  <c:v>27.872467704889733</c:v>
                </c:pt>
                <c:pt idx="114">
                  <c:v>27.676613155020604</c:v>
                </c:pt>
                <c:pt idx="115">
                  <c:v>27.480581311012536</c:v>
                </c:pt>
                <c:pt idx="116">
                  <c:v>27.28438011084706</c:v>
                </c:pt>
                <c:pt idx="117">
                  <c:v>27.088017174377544</c:v>
                </c:pt>
                <c:pt idx="118">
                  <c:v>26.891499816002661</c:v>
                </c:pt>
                <c:pt idx="119">
                  <c:v>26.694835056982363</c:v>
                </c:pt>
                <c:pt idx="120">
                  <c:v>26.49802963739937</c:v>
                </c:pt>
                <c:pt idx="121">
                  <c:v>26.301090027769</c:v>
                </c:pt>
                <c:pt idx="122">
                  <c:v>26.104022440303133</c:v>
                </c:pt>
                <c:pt idx="123">
                  <c:v>25.906832839832077</c:v>
                </c:pt>
                <c:pt idx="124">
                  <c:v>25.709526954392491</c:v>
                </c:pt>
                <c:pt idx="125">
                  <c:v>25.512110285486123</c:v>
                </c:pt>
                <c:pt idx="126">
                  <c:v>25.314588118017902</c:v>
                </c:pt>
                <c:pt idx="127">
                  <c:v>25.116965529920947</c:v>
                </c:pt>
                <c:pt idx="128">
                  <c:v>24.91924740147693</c:v>
                </c:pt>
                <c:pt idx="129">
                  <c:v>24.721438424339254</c:v>
                </c:pt>
                <c:pt idx="130">
                  <c:v>24.523543110269408</c:v>
                </c:pt>
                <c:pt idx="131">
                  <c:v>24.325565799594418</c:v>
                </c:pt>
                <c:pt idx="132">
                  <c:v>24.127510669394788</c:v>
                </c:pt>
                <c:pt idx="133">
                  <c:v>23.929381741433005</c:v>
                </c:pt>
                <c:pt idx="134">
                  <c:v>23.73118288983077</c:v>
                </c:pt>
                <c:pt idx="135">
                  <c:v>23.532917848506184</c:v>
                </c:pt>
                <c:pt idx="136">
                  <c:v>23.334590218378857</c:v>
                </c:pt>
                <c:pt idx="137">
                  <c:v>23.136203474352666</c:v>
                </c:pt>
                <c:pt idx="138">
                  <c:v>22.937760972088096</c:v>
                </c:pt>
                <c:pt idx="139">
                  <c:v>22.7392659545696</c:v>
                </c:pt>
                <c:pt idx="140">
                  <c:v>22.540721558481703</c:v>
                </c:pt>
                <c:pt idx="141">
                  <c:v>22.34213082039966</c:v>
                </c:pt>
                <c:pt idx="142">
                  <c:v>22.143496682807708</c:v>
                </c:pt>
                <c:pt idx="143">
                  <c:v>21.944821999950491</c:v>
                </c:pt>
                <c:pt idx="144">
                  <c:v>21.746109543529766</c:v>
                </c:pt>
                <c:pt idx="145">
                  <c:v>21.547362008254755</c:v>
                </c:pt>
                <c:pt idx="146">
                  <c:v>21.348582017254021</c:v>
                </c:pt>
                <c:pt idx="147">
                  <c:v>21.149772127359409</c:v>
                </c:pt>
                <c:pt idx="148">
                  <c:v>20.950934834271195</c:v>
                </c:pt>
                <c:pt idx="149">
                  <c:v>20.752072577611159</c:v>
                </c:pt>
                <c:pt idx="150">
                  <c:v>20.553187745874059</c:v>
                </c:pt>
                <c:pt idx="151">
                  <c:v>20.35428268128673</c:v>
                </c:pt>
                <c:pt idx="152">
                  <c:v>20.155359684581441</c:v>
                </c:pt>
                <c:pt idx="153">
                  <c:v>19.956421019692971</c:v>
                </c:pt>
                <c:pt idx="154">
                  <c:v>19.757468918388643</c:v>
                </c:pt>
                <c:pt idx="155">
                  <c:v>19.558505584838784</c:v>
                </c:pt>
                <c:pt idx="156">
                  <c:v>19.359533200135747</c:v>
                </c:pt>
                <c:pt idx="157">
                  <c:v>19.16055392677055</c:v>
                </c:pt>
                <c:pt idx="158">
                  <c:v>18.961569913075095</c:v>
                </c:pt>
                <c:pt idx="159">
                  <c:v>18.762583297637718</c:v>
                </c:pt>
                <c:pt idx="160">
                  <c:v>18.563596213701235</c:v>
                </c:pt>
                <c:pt idx="161">
                  <c:v>18.364610793550526</c:v>
                </c:pt>
                <c:pt idx="162">
                  <c:v>18.165629172898917</c:v>
                </c:pt>
                <c:pt idx="163">
                  <c:v>17.966653495280482</c:v>
                </c:pt>
                <c:pt idx="164">
                  <c:v>17.767685916457307</c:v>
                </c:pt>
                <c:pt idx="165">
                  <c:v>17.568728608849447</c:v>
                </c:pt>
                <c:pt idx="166">
                  <c:v>17.369783765995724</c:v>
                </c:pt>
                <c:pt idx="167">
                  <c:v>17.170853607054148</c:v>
                </c:pt>
                <c:pt idx="168">
                  <c:v>16.971940381349437</c:v>
                </c:pt>
                <c:pt idx="169">
                  <c:v>16.773046372976644</c:v>
                </c:pt>
                <c:pt idx="170">
                  <c:v>16.574173905468729</c:v>
                </c:pt>
                <c:pt idx="171">
                  <c:v>16.375325346537178</c:v>
                </c:pt>
                <c:pt idx="172">
                  <c:v>16.176503112893453</c:v>
                </c:pt>
                <c:pt idx="173">
                  <c:v>15.977709675160312</c:v>
                </c:pt>
                <c:pt idx="174">
                  <c:v>15.778947562881513</c:v>
                </c:pt>
                <c:pt idx="175">
                  <c:v>15.580219369638231</c:v>
                </c:pt>
                <c:pt idx="176">
                  <c:v>15.381527758282218</c:v>
                </c:pt>
                <c:pt idx="177">
                  <c:v>15.182875466292881</c:v>
                </c:pt>
                <c:pt idx="178">
                  <c:v>14.984265311268661</c:v>
                </c:pt>
                <c:pt idx="179">
                  <c:v>14.785700196561134</c:v>
                </c:pt>
                <c:pt idx="180">
                  <c:v>14.587183117060988</c:v>
                </c:pt>
                <c:pt idx="181">
                  <c:v>14.388717165145797</c:v>
                </c:pt>
                <c:pt idx="182">
                  <c:v>14.190305536797689</c:v>
                </c:pt>
                <c:pt idx="183">
                  <c:v>13.991951537901304</c:v>
                </c:pt>
                <c:pt idx="184">
                  <c:v>13.793658590731779</c:v>
                </c:pt>
                <c:pt idx="185">
                  <c:v>13.595430240640578</c:v>
                </c:pt>
                <c:pt idx="186">
                  <c:v>13.397270162951088</c:v>
                </c:pt>
                <c:pt idx="187">
                  <c:v>13.199182170071852</c:v>
                </c:pt>
                <c:pt idx="188">
                  <c:v>13.001170218837686</c:v>
                </c:pt>
                <c:pt idx="189">
                  <c:v>12.80323841808835</c:v>
                </c:pt>
                <c:pt idx="190">
                  <c:v>12.605391036494547</c:v>
                </c:pt>
                <c:pt idx="191">
                  <c:v>12.407632510640232</c:v>
                </c:pt>
                <c:pt idx="192">
                  <c:v>12.209967453371286</c:v>
                </c:pt>
                <c:pt idx="193">
                  <c:v>12.012400662419907</c:v>
                </c:pt>
                <c:pt idx="194">
                  <c:v>11.814937129313201</c:v>
                </c:pt>
                <c:pt idx="195">
                  <c:v>11.617582048576176</c:v>
                </c:pt>
                <c:pt idx="196">
                  <c:v>11.420340827236831</c:v>
                </c:pt>
                <c:pt idx="197">
                  <c:v>11.223219094642388</c:v>
                </c:pt>
                <c:pt idx="198">
                  <c:v>11.026222712594787</c:v>
                </c:pt>
                <c:pt idx="199">
                  <c:v>10.829357785812771</c:v>
                </c:pt>
                <c:pt idx="200">
                  <c:v>10.632630672728038</c:v>
                </c:pt>
                <c:pt idx="201">
                  <c:v>10.4360479966219</c:v>
                </c:pt>
                <c:pt idx="202">
                  <c:v>10.239616657108641</c:v>
                </c:pt>
                <c:pt idx="203">
                  <c:v>10.0433438419702</c:v>
                </c:pt>
                <c:pt idx="204">
                  <c:v>9.8472370393470285</c:v>
                </c:pt>
                <c:pt idx="205">
                  <c:v>9.6513040502877594</c:v>
                </c:pt>
                <c:pt idx="206">
                  <c:v>9.4555530016607321</c:v>
                </c:pt>
                <c:pt idx="207">
                  <c:v>9.259992359426656</c:v>
                </c:pt>
                <c:pt idx="208">
                  <c:v>9.0646309422741052</c:v>
                </c:pt>
                <c:pt idx="209">
                  <c:v>8.8694779356133857</c:v>
                </c:pt>
                <c:pt idx="210">
                  <c:v>8.6745429059264296</c:v>
                </c:pt>
                <c:pt idx="211">
                  <c:v>8.4798358154665081</c:v>
                </c:pt>
                <c:pt idx="212">
                  <c:v>8.2853670372996078</c:v>
                </c:pt>
                <c:pt idx="213">
                  <c:v>8.0911473706769055</c:v>
                </c:pt>
                <c:pt idx="214">
                  <c:v>7.8971880567262707</c:v>
                </c:pt>
                <c:pt idx="215">
                  <c:v>7.7035007944462723</c:v>
                </c:pt>
                <c:pt idx="216">
                  <c:v>7.5100977569844183</c:v>
                </c:pt>
                <c:pt idx="217">
                  <c:v>7.3169916081768758</c:v>
                </c:pt>
                <c:pt idx="218">
                  <c:v>7.1241955193247728</c:v>
                </c:pt>
                <c:pt idx="219">
                  <c:v>6.931723186176372</c:v>
                </c:pt>
                <c:pt idx="220">
                  <c:v>6.7395888460823139</c:v>
                </c:pt>
                <c:pt idx="221">
                  <c:v>6.547807295284426</c:v>
                </c:pt>
                <c:pt idx="222">
                  <c:v>6.3563939062956623</c:v>
                </c:pt>
                <c:pt idx="223">
                  <c:v>6.1653646453218762</c:v>
                </c:pt>
                <c:pt idx="224">
                  <c:v>5.9747360896723611</c:v>
                </c:pt>
                <c:pt idx="225">
                  <c:v>5.7845254450982422</c:v>
                </c:pt>
                <c:pt idx="226">
                  <c:v>5.5947505629930081</c:v>
                </c:pt>
                <c:pt idx="227">
                  <c:v>5.4054299573831868</c:v>
                </c:pt>
                <c:pt idx="228">
                  <c:v>5.2165828216286485</c:v>
                </c:pt>
                <c:pt idx="229">
                  <c:v>5.0282290447455527</c:v>
                </c:pt>
                <c:pt idx="230">
                  <c:v>4.8403892272602258</c:v>
                </c:pt>
                <c:pt idx="231">
                  <c:v>4.6530846964880359</c:v>
                </c:pt>
                <c:pt idx="232">
                  <c:v>4.4663375211313801</c:v>
                </c:pt>
                <c:pt idx="233">
                  <c:v>4.2801705250757092</c:v>
                </c:pt>
                <c:pt idx="234">
                  <c:v>4.0946073002587946</c:v>
                </c:pt>
                <c:pt idx="235">
                  <c:v>3.9096722184784798</c:v>
                </c:pt>
                <c:pt idx="236">
                  <c:v>3.7253904419943935</c:v>
                </c:pt>
                <c:pt idx="237">
                  <c:v>3.5417879327730422</c:v>
                </c:pt>
                <c:pt idx="238">
                  <c:v>3.3588914602167703</c:v>
                </c:pt>
                <c:pt idx="239">
                  <c:v>3.1767286072073855</c:v>
                </c:pt>
                <c:pt idx="240">
                  <c:v>2.9953277742912854</c:v>
                </c:pt>
                <c:pt idx="241">
                  <c:v>2.8147181818204414</c:v>
                </c:pt>
                <c:pt idx="242">
                  <c:v>2.6349298698639285</c:v>
                </c:pt>
                <c:pt idx="243">
                  <c:v>2.4559936956920008</c:v>
                </c:pt>
                <c:pt idx="244">
                  <c:v>2.2779413286360399</c:v>
                </c:pt>
                <c:pt idx="245">
                  <c:v>2.1008052421195931</c:v>
                </c:pt>
                <c:pt idx="246">
                  <c:v>1.9246187026563959</c:v>
                </c:pt>
                <c:pt idx="247">
                  <c:v>1.7494157556085355</c:v>
                </c:pt>
                <c:pt idx="248">
                  <c:v>1.5752312075012367</c:v>
                </c:pt>
                <c:pt idx="249">
                  <c:v>1.4021006046907594</c:v>
                </c:pt>
                <c:pt idx="250">
                  <c:v>1.2300602081895142</c:v>
                </c:pt>
                <c:pt idx="251">
                  <c:v>1.0591469644589295</c:v>
                </c:pt>
                <c:pt idx="252">
                  <c:v>0.88939847199064248</c:v>
                </c:pt>
                <c:pt idx="253">
                  <c:v>0.72085294350875273</c:v>
                </c:pt>
                <c:pt idx="254">
                  <c:v>0.5535491636447919</c:v>
                </c:pt>
                <c:pt idx="255">
                  <c:v>0.38752644195040664</c:v>
                </c:pt>
                <c:pt idx="256">
                  <c:v>0.22282456114104246</c:v>
                </c:pt>
                <c:pt idx="257">
                  <c:v>5.9483720484997678E-2</c:v>
                </c:pt>
                <c:pt idx="258">
                  <c:v>-0.10245552571690818</c:v>
                </c:pt>
                <c:pt idx="259">
                  <c:v>-0.26295233458361206</c:v>
                </c:pt>
                <c:pt idx="260">
                  <c:v>-0.42196564602482933</c:v>
                </c:pt>
                <c:pt idx="261">
                  <c:v>-0.57945425897947023</c:v>
                </c:pt>
                <c:pt idx="262">
                  <c:v>-0.73537691242581116</c:v>
                </c:pt>
                <c:pt idx="263">
                  <c:v>-0.88969237102547094</c:v>
                </c:pt>
                <c:pt idx="264">
                  <c:v>-1.0423595152130578</c:v>
                </c:pt>
                <c:pt idx="265">
                  <c:v>-1.1933374354953767</c:v>
                </c:pt>
                <c:pt idx="266">
                  <c:v>-1.342585530671125</c:v>
                </c:pt>
                <c:pt idx="267">
                  <c:v>-1.4900636096309263</c:v>
                </c:pt>
                <c:pt idx="268">
                  <c:v>-1.635731996342743</c:v>
                </c:pt>
                <c:pt idx="269">
                  <c:v>-1.7795516375763141</c:v>
                </c:pt>
                <c:pt idx="270">
                  <c:v>-1.9214842128672607</c:v>
                </c:pt>
                <c:pt idx="271">
                  <c:v>-2.0614922461713596</c:v>
                </c:pt>
                <c:pt idx="272">
                  <c:v>-2.1995392186128901</c:v>
                </c:pt>
                <c:pt idx="273">
                  <c:v>-2.3355896816864523</c:v>
                </c:pt>
                <c:pt idx="274">
                  <c:v>-2.4696093702318285</c:v>
                </c:pt>
                <c:pt idx="275">
                  <c:v>-2.6015653144686288</c:v>
                </c:pt>
                <c:pt idx="276">
                  <c:v>-2.7314259503479832</c:v>
                </c:pt>
                <c:pt idx="277">
                  <c:v>-2.8591612274600409</c:v>
                </c:pt>
                <c:pt idx="278">
                  <c:v>-2.9847427137208897</c:v>
                </c:pt>
                <c:pt idx="279">
                  <c:v>-3.1081436960595221</c:v>
                </c:pt>
                <c:pt idx="280">
                  <c:v>-3.2293392763293651</c:v>
                </c:pt>
                <c:pt idx="281">
                  <c:v>-3.3483064616826579</c:v>
                </c:pt>
                <c:pt idx="282">
                  <c:v>-3.4650242486697378</c:v>
                </c:pt>
                <c:pt idx="283">
                  <c:v>-3.5794737003577626</c:v>
                </c:pt>
                <c:pt idx="284">
                  <c:v>-3.6916380158058226</c:v>
                </c:pt>
                <c:pt idx="285">
                  <c:v>-3.8015025912854883</c:v>
                </c:pt>
                <c:pt idx="286">
                  <c:v>-3.9090550726951525</c:v>
                </c:pt>
                <c:pt idx="287">
                  <c:v>-4.0142853986854155</c:v>
                </c:pt>
                <c:pt idx="288">
                  <c:v>-4.1171858340871035</c:v>
                </c:pt>
                <c:pt idx="289">
                  <c:v>-4.217750993315331</c:v>
                </c:pt>
                <c:pt idx="290">
                  <c:v>-4.3159778535087074</c:v>
                </c:pt>
                <c:pt idx="291">
                  <c:v>-4.411865757252416</c:v>
                </c:pt>
                <c:pt idx="292">
                  <c:v>-4.5054164048256471</c:v>
                </c:pt>
                <c:pt idx="293">
                  <c:v>-4.5966338360071228</c:v>
                </c:pt>
                <c:pt idx="294">
                  <c:v>-4.6855244015635424</c:v>
                </c:pt>
                <c:pt idx="295">
                  <c:v>-4.7720967246367438</c:v>
                </c:pt>
                <c:pt idx="296">
                  <c:v>-4.8563616523313726</c:v>
                </c:pt>
                <c:pt idx="297">
                  <c:v>-4.9383321978876076</c:v>
                </c:pt>
                <c:pt idx="298">
                  <c:v>-5.0180234738988263</c:v>
                </c:pt>
                <c:pt idx="299">
                  <c:v>-5.0954526171032013</c:v>
                </c:pt>
                <c:pt idx="300">
                  <c:v>-5.1706387053417568</c:v>
                </c:pt>
                <c:pt idx="301">
                  <c:v>-5.2436026673243123</c:v>
                </c:pt>
                <c:pt idx="302">
                  <c:v>-5.3143671858932651</c:v>
                </c:pt>
                <c:pt idx="303">
                  <c:v>-5.38295659550589</c:v>
                </c:pt>
                <c:pt idx="304">
                  <c:v>-5.4493967746828016</c:v>
                </c:pt>
                <c:pt idx="305">
                  <c:v>-5.5137150341845365</c:v>
                </c:pt>
                <c:pt idx="306">
                  <c:v>-5.5759400016848364</c:v>
                </c:pt>
                <c:pt idx="307">
                  <c:v>-5.6361015037057633</c:v>
                </c:pt>
                <c:pt idx="308">
                  <c:v>-5.6942304455678183</c:v>
                </c:pt>
                <c:pt idx="309">
                  <c:v>-5.7503586900901915</c:v>
                </c:pt>
                <c:pt idx="310">
                  <c:v>-5.8045189357474598</c:v>
                </c:pt>
                <c:pt idx="311">
                  <c:v>-5.8567445949584265</c:v>
                </c:pt>
                <c:pt idx="312">
                  <c:v>-5.9070696731422814</c:v>
                </c:pt>
                <c:pt idx="313">
                  <c:v>-5.9555286491358181</c:v>
                </c:pt>
                <c:pt idx="314">
                  <c:v>-6.002156357517161</c:v>
                </c:pt>
                <c:pt idx="315">
                  <c:v>-6.0469878733336726</c:v>
                </c:pt>
                <c:pt idx="316">
                  <c:v>-6.0900583996781297</c:v>
                </c:pt>
                <c:pt idx="317">
                  <c:v>-6.1314031585070552</c:v>
                </c:pt>
                <c:pt idx="318">
                  <c:v>-6.1710572850407486</c:v>
                </c:pt>
                <c:pt idx="319">
                  <c:v>-6.2090557260323713</c:v>
                </c:pt>
                <c:pt idx="320">
                  <c:v>-6.2454331421433826</c:v>
                </c:pt>
                <c:pt idx="321">
                  <c:v>-6.2802238146118405</c:v>
                </c:pt>
                <c:pt idx="322">
                  <c:v>-6.3134615563536141</c:v>
                </c:pt>
                <c:pt idx="323">
                  <c:v>-6.3451796275911896</c:v>
                </c:pt>
                <c:pt idx="324">
                  <c:v>-6.3754106560639947</c:v>
                </c:pt>
                <c:pt idx="325">
                  <c:v>-6.4041865618340701</c:v>
                </c:pt>
                <c:pt idx="326">
                  <c:v>-6.4315384866679226</c:v>
                </c:pt>
                <c:pt idx="327">
                  <c:v>-6.4574967279410709</c:v>
                </c:pt>
                <c:pt idx="328">
                  <c:v>-6.4820906769864575</c:v>
                </c:pt>
                <c:pt idx="329">
                  <c:v>-6.5053487617813479</c:v>
                </c:pt>
                <c:pt idx="330">
                  <c:v>-6.5272983938475662</c:v>
                </c:pt>
                <c:pt idx="331">
                  <c:v>-6.547965919221614</c:v>
                </c:pt>
                <c:pt idx="332">
                  <c:v>-6.5673765733385139</c:v>
                </c:pt>
                <c:pt idx="333">
                  <c:v>-6.5855544396599281</c:v>
                </c:pt>
                <c:pt idx="334">
                  <c:v>-6.6025224118717212</c:v>
                </c:pt>
                <c:pt idx="335">
                  <c:v>-6.6183021594689979</c:v>
                </c:pt>
                <c:pt idx="336">
                  <c:v>-6.6329140965462896</c:v>
                </c:pt>
                <c:pt idx="337">
                  <c:v>-6.6463773536082815</c:v>
                </c:pt>
                <c:pt idx="338">
                  <c:v>-6.6587097522205285</c:v>
                </c:pt>
                <c:pt idx="339">
                  <c:v>-6.669927782323736</c:v>
                </c:pt>
                <c:pt idx="340">
                  <c:v>-6.6800465820402035</c:v>
                </c:pt>
                <c:pt idx="341">
                  <c:v>-6.6890799198112685</c:v>
                </c:pt>
                <c:pt idx="342">
                  <c:v>-6.6970401787103571</c:v>
                </c:pt>
                <c:pt idx="343">
                  <c:v>-6.7039383427917727</c:v>
                </c:pt>
                <c:pt idx="344">
                  <c:v>-6.7097839853422405</c:v>
                </c:pt>
                <c:pt idx="345">
                  <c:v>-6.7145852589184187</c:v>
                </c:pt>
                <c:pt idx="346">
                  <c:v>-6.7183488870667043</c:v>
                </c:pt>
                <c:pt idx="347">
                  <c:v>-6.7210801576345993</c:v>
                </c:pt>
                <c:pt idx="348">
                  <c:v>-6.7227829175998224</c:v>
                </c:pt>
                <c:pt idx="349">
                  <c:v>-6.7234595693574315</c:v>
                </c:pt>
                <c:pt idx="350">
                  <c:v>-6.7231110684225097</c:v>
                </c:pt>
                <c:pt idx="351">
                  <c:v>-6.7217369225204191</c:v>
                </c:pt>
                <c:pt idx="352">
                  <c:v>-6.7193351920542197</c:v>
                </c:pt>
                <c:pt idx="353">
                  <c:v>-6.7159024919550712</c:v>
                </c:pt>
                <c:pt idx="354">
                  <c:v>-6.7114339949370594</c:v>
                </c:pt>
                <c:pt idx="355">
                  <c:v>-6.7059234361944906</c:v>
                </c:pt>
                <c:pt idx="356">
                  <c:v>-6.6993631195968515</c:v>
                </c:pt>
                <c:pt idx="357">
                  <c:v>-6.6917439254491695</c:v>
                </c:pt>
                <c:pt idx="358">
                  <c:v>-6.6830553199045726</c:v>
                </c:pt>
                <c:pt idx="359">
                  <c:v>-6.673285366127832</c:v>
                </c:pt>
                <c:pt idx="360">
                  <c:v>-6.6624207373228366</c:v>
                </c:pt>
                <c:pt idx="361">
                  <c:v>-6.6504467317519769</c:v>
                </c:pt>
                <c:pt idx="362">
                  <c:v>-6.6373472898849153</c:v>
                </c:pt>
                <c:pt idx="363">
                  <c:v>-6.6231050138276597</c:v>
                </c:pt>
                <c:pt idx="364">
                  <c:v>-6.6077011891911477</c:v>
                </c:pt>
                <c:pt idx="365">
                  <c:v>-6.5911158095678699</c:v>
                </c:pt>
                <c:pt idx="366">
                  <c:v>-6.5733276037910446</c:v>
                </c:pt>
                <c:pt idx="367">
                  <c:v>-6.55431406615652</c:v>
                </c:pt>
                <c:pt idx="368">
                  <c:v>-6.5340514897905519</c:v>
                </c:pt>
                <c:pt idx="369">
                  <c:v>-6.5125150033464649</c:v>
                </c:pt>
                <c:pt idx="370">
                  <c:v>-6.4896786112129758</c:v>
                </c:pt>
                <c:pt idx="371">
                  <c:v>-6.4655152374118208</c:v>
                </c:pt>
                <c:pt idx="372">
                  <c:v>-6.4399967733555439</c:v>
                </c:pt>
                <c:pt idx="373">
                  <c:v>-6.4130941296264341</c:v>
                </c:pt>
                <c:pt idx="374">
                  <c:v>-6.3847772919248538</c:v>
                </c:pt>
                <c:pt idx="375">
                  <c:v>-6.3550153813179557</c:v>
                </c:pt>
                <c:pt idx="376">
                  <c:v>-6.3237767189005591</c:v>
                </c:pt>
                <c:pt idx="377">
                  <c:v>-6.2910288949572282</c:v>
                </c:pt>
                <c:pt idx="378">
                  <c:v>-6.2567388426854915</c:v>
                </c:pt>
                <c:pt idx="379">
                  <c:v>-6.220872916512902</c:v>
                </c:pt>
                <c:pt idx="380">
                  <c:v>-6.1833969750032676</c:v>
                </c:pt>
                <c:pt idx="381">
                  <c:v>-6.144276468312535</c:v>
                </c:pt>
                <c:pt idx="382">
                  <c:v>-6.1034765301124407</c:v>
                </c:pt>
                <c:pt idx="383">
                  <c:v>-6.0609620738567385</c:v>
                </c:pt>
                <c:pt idx="384">
                  <c:v>-6.0166978932188648</c:v>
                </c:pt>
                <c:pt idx="385">
                  <c:v>-5.9706487664798473</c:v>
                </c:pt>
                <c:pt idx="386">
                  <c:v>-5.9227795645961523</c:v>
                </c:pt>
                <c:pt idx="387">
                  <c:v>-5.8730553626230888</c:v>
                </c:pt>
                <c:pt idx="388">
                  <c:v>-5.8214415541189517</c:v>
                </c:pt>
                <c:pt idx="389">
                  <c:v>-5.7679039681009598</c:v>
                </c:pt>
                <c:pt idx="390">
                  <c:v>-5.7124089880727382</c:v>
                </c:pt>
                <c:pt idx="391">
                  <c:v>-5.6549236725916998</c:v>
                </c:pt>
                <c:pt idx="392">
                  <c:v>-5.5954158768002404</c:v>
                </c:pt>
                <c:pt idx="393">
                  <c:v>-5.533854374295287</c:v>
                </c:pt>
                <c:pt idx="394">
                  <c:v>-5.470208978675287</c:v>
                </c:pt>
                <c:pt idx="395">
                  <c:v>-5.4044506640663563</c:v>
                </c:pt>
                <c:pt idx="396">
                  <c:v>-5.336551683901174</c:v>
                </c:pt>
                <c:pt idx="397">
                  <c:v>-5.2664856872023771</c:v>
                </c:pt>
                <c:pt idx="398">
                  <c:v>-5.1942278316086208</c:v>
                </c:pt>
                <c:pt idx="399">
                  <c:v>-5.1197548923738694</c:v>
                </c:pt>
                <c:pt idx="400">
                  <c:v>-5.0430453665762549</c:v>
                </c:pt>
                <c:pt idx="401">
                  <c:v>-4.9640795717817863</c:v>
                </c:pt>
                <c:pt idx="402">
                  <c:v>-4.8828397384337094</c:v>
                </c:pt>
                <c:pt idx="403">
                  <c:v>-4.7993100952658176</c:v>
                </c:pt>
                <c:pt idx="404">
                  <c:v>-4.7134769470825564</c:v>
                </c:pt>
                <c:pt idx="405">
                  <c:v>-4.6253287442956879</c:v>
                </c:pt>
                <c:pt idx="406">
                  <c:v>-4.5348561436685246</c:v>
                </c:pt>
                <c:pt idx="407">
                  <c:v>-4.4420520597841495</c:v>
                </c:pt>
                <c:pt idx="408">
                  <c:v>-4.3469117068279175</c:v>
                </c:pt>
                <c:pt idx="409">
                  <c:v>-4.2494326303565675</c:v>
                </c:pt>
                <c:pt idx="410">
                  <c:v>-4.1496147288091114</c:v>
                </c:pt>
                <c:pt idx="411">
                  <c:v>-4.0474602646052684</c:v>
                </c:pt>
                <c:pt idx="412">
                  <c:v>-3.9429738647695363</c:v>
                </c:pt>
                <c:pt idx="413">
                  <c:v>-3.8361625111088293</c:v>
                </c:pt>
                <c:pt idx="414">
                  <c:v>-3.7270355200671421</c:v>
                </c:pt>
                <c:pt idx="415">
                  <c:v>-3.6156045124694303</c:v>
                </c:pt>
                <c:pt idx="416">
                  <c:v>-3.5018833734534391</c:v>
                </c:pt>
                <c:pt idx="417">
                  <c:v>-3.3858882029736375</c:v>
                </c:pt>
                <c:pt idx="418">
                  <c:v>-3.2676372573361738</c:v>
                </c:pt>
                <c:pt idx="419">
                  <c:v>-3.1471508822947927</c:v>
                </c:pt>
                <c:pt idx="420">
                  <c:v>-3.0244514383017385</c:v>
                </c:pt>
                <c:pt idx="421">
                  <c:v>-2.899563218559754</c:v>
                </c:pt>
                <c:pt idx="422">
                  <c:v>-2.7725123605693818</c:v>
                </c:pt>
                <c:pt idx="423">
                  <c:v>-2.6433267518982224</c:v>
                </c:pt>
                <c:pt idx="424">
                  <c:v>-2.5120359309296507</c:v>
                </c:pt>
                <c:pt idx="425">
                  <c:v>-2.3786709833609714</c:v>
                </c:pt>
                <c:pt idx="426">
                  <c:v>-2.2432644352313984</c:v>
                </c:pt>
                <c:pt idx="427">
                  <c:v>-2.105850143257439</c:v>
                </c:pt>
                <c:pt idx="428">
                  <c:v>-1.9664631832435975</c:v>
                </c:pt>
                <c:pt idx="429">
                  <c:v>-1.8251397373158287</c:v>
                </c:pt>
                <c:pt idx="430">
                  <c:v>-1.6819169807039847</c:v>
                </c:pt>
                <c:pt idx="431">
                  <c:v>-1.5368329687618776</c:v>
                </c:pt>
                <c:pt idx="432">
                  <c:v>-1.3899265248817105</c:v>
                </c:pt>
                <c:pt idx="433">
                  <c:v>-1.2412371299102303</c:v>
                </c:pt>
                <c:pt idx="434">
                  <c:v>-1.0908048136350121</c:v>
                </c:pt>
                <c:pt idx="435">
                  <c:v>-0.93867004885365124</c:v>
                </c:pt>
                <c:pt idx="436">
                  <c:v>-0.78487364849045016</c:v>
                </c:pt>
                <c:pt idx="437">
                  <c:v>-0.62945666617231122</c:v>
                </c:pt>
                <c:pt idx="438">
                  <c:v>-0.47246030062077732</c:v>
                </c:pt>
                <c:pt idx="439">
                  <c:v>-0.31392580416580779</c:v>
                </c:pt>
                <c:pt idx="440">
                  <c:v>-0.15389439563447252</c:v>
                </c:pt>
                <c:pt idx="441">
                  <c:v>7.5928221827141528E-3</c:v>
                </c:pt>
                <c:pt idx="442">
                  <c:v>0.170494940334314</c:v>
                </c:pt>
                <c:pt idx="443">
                  <c:v>0.33477131666884641</c:v>
                </c:pt>
                <c:pt idx="444">
                  <c:v>0.50038164389146755</c:v>
                </c:pt>
                <c:pt idx="445">
                  <c:v>0.66728601268959697</c:v>
                </c:pt>
                <c:pt idx="446">
                  <c:v>0.83544496993870132</c:v>
                </c:pt>
                <c:pt idx="447">
                  <c:v>1.0048195720356317</c:v>
                </c:pt>
                <c:pt idx="448">
                  <c:v>1.1753714334319052</c:v>
                </c:pt>
                <c:pt idx="449">
                  <c:v>1.3470627704714353</c:v>
                </c:pt>
                <c:pt idx="450">
                  <c:v>1.5198564406554416</c:v>
                </c:pt>
                <c:pt idx="451">
                  <c:v>1.693715977481419</c:v>
                </c:pt>
                <c:pt idx="452">
                  <c:v>1.8686056210170343</c:v>
                </c:pt>
                <c:pt idx="453">
                  <c:v>2.0444903443842928</c:v>
                </c:pt>
                <c:pt idx="454">
                  <c:v>2.2213358763417688</c:v>
                </c:pt>
                <c:pt idx="455">
                  <c:v>2.3991087201582282</c:v>
                </c:pt>
                <c:pt idx="456">
                  <c:v>2.5777761689788887</c:v>
                </c:pt>
                <c:pt idx="457">
                  <c:v>2.7573063178890642</c:v>
                </c:pt>
                <c:pt idx="458">
                  <c:v>2.9376680728806166</c:v>
                </c:pt>
                <c:pt idx="459">
                  <c:v>3.1188311569262872</c:v>
                </c:pt>
                <c:pt idx="460">
                  <c:v>3.3007661133674668</c:v>
                </c:pt>
                <c:pt idx="461">
                  <c:v>3.483444306814337</c:v>
                </c:pt>
                <c:pt idx="462">
                  <c:v>3.6668379217562115</c:v>
                </c:pt>
                <c:pt idx="463">
                  <c:v>3.8509199590720131</c:v>
                </c:pt>
                <c:pt idx="464">
                  <c:v>4.0356642306263355</c:v>
                </c:pt>
                <c:pt idx="465">
                  <c:v>4.22104535212861</c:v>
                </c:pt>
                <c:pt idx="466">
                  <c:v>4.4070387344258943</c:v>
                </c:pt>
                <c:pt idx="467">
                  <c:v>4.5936205733921485</c:v>
                </c:pt>
                <c:pt idx="468">
                  <c:v>4.7807678385674111</c:v>
                </c:pt>
                <c:pt idx="469">
                  <c:v>4.9684582606944439</c:v>
                </c:pt>
                <c:pt idx="470">
                  <c:v>5.1566703182889757</c:v>
                </c:pt>
                <c:pt idx="471">
                  <c:v>5.3453832233745651</c:v>
                </c:pt>
                <c:pt idx="472">
                  <c:v>5.5345769065008401</c:v>
                </c:pt>
                <c:pt idx="473">
                  <c:v>5.7242320011597503</c:v>
                </c:pt>
                <c:pt idx="474">
                  <c:v>5.9143298277034928</c:v>
                </c:pt>
                <c:pt idx="475">
                  <c:v>6.104852376861075</c:v>
                </c:pt>
                <c:pt idx="476">
                  <c:v>6.2957822929433647</c:v>
                </c:pt>
                <c:pt idx="477">
                  <c:v>6.4871028568174154</c:v>
                </c:pt>
                <c:pt idx="478">
                  <c:v>6.6787979687267285</c:v>
                </c:pt>
                <c:pt idx="479">
                  <c:v>6.8708521310244652</c:v>
                </c:pt>
                <c:pt idx="480">
                  <c:v>7.063250430882996</c:v>
                </c:pt>
                <c:pt idx="481">
                  <c:v>7.255978523034404</c:v>
                </c:pt>
                <c:pt idx="482">
                  <c:v>7.4490226125944883</c:v>
                </c:pt>
                <c:pt idx="483">
                  <c:v>7.6423694380131293</c:v>
                </c:pt>
                <c:pt idx="484">
                  <c:v>7.8360062541937827</c:v>
                </c:pt>
                <c:pt idx="485">
                  <c:v>8.029920815815462</c:v>
                </c:pt>
                <c:pt idx="486">
                  <c:v>8.224101360890403</c:v>
                </c:pt>
                <c:pt idx="487">
                  <c:v>8.4185365945839195</c:v>
                </c:pt>
                <c:pt idx="488">
                  <c:v>8.6132156733195071</c:v>
                </c:pt>
                <c:pt idx="489">
                  <c:v>8.8081281891912226</c:v>
                </c:pt>
                <c:pt idx="490">
                  <c:v>9.003264154698341</c:v>
                </c:pt>
                <c:pt idx="491">
                  <c:v>9.1986139878180175</c:v>
                </c:pt>
                <c:pt idx="492">
                  <c:v>9.3941684974277422</c:v>
                </c:pt>
                <c:pt idx="493">
                  <c:v>9.5899188690842081</c:v>
                </c:pt>
                <c:pt idx="494">
                  <c:v>9.785856651169329</c:v>
                </c:pt>
                <c:pt idx="495">
                  <c:v>9.9819737414057137</c:v>
                </c:pt>
                <c:pt idx="496">
                  <c:v>10.178262373745737</c:v>
                </c:pt>
                <c:pt idx="497">
                  <c:v>10.374715105636172</c:v>
                </c:pt>
                <c:pt idx="498">
                  <c:v>10.571324805657103</c:v>
                </c:pt>
                <c:pt idx="499">
                  <c:v>10.76808464153685</c:v>
                </c:pt>
                <c:pt idx="500">
                  <c:v>10.964988068537131</c:v>
                </c:pt>
                <c:pt idx="501">
                  <c:v>11.162028818207826</c:v>
                </c:pt>
                <c:pt idx="502">
                  <c:v>11.359200887506731</c:v>
                </c:pt>
                <c:pt idx="503">
                  <c:v>11.556498528278095</c:v>
                </c:pt>
                <c:pt idx="504">
                  <c:v>11.753916237085607</c:v>
                </c:pt>
                <c:pt idx="505">
                  <c:v>11.951448745393854</c:v>
                </c:pt>
                <c:pt idx="506">
                  <c:v>12.14909101009016</c:v>
                </c:pt>
                <c:pt idx="507">
                  <c:v>12.34683820434123</c:v>
                </c:pt>
                <c:pt idx="508">
                  <c:v>12.544685708776557</c:v>
                </c:pt>
                <c:pt idx="509">
                  <c:v>12.742629102990579</c:v>
                </c:pt>
                <c:pt idx="510">
                  <c:v>12.940664157356597</c:v>
                </c:pt>
                <c:pt idx="511">
                  <c:v>13.138786825143129</c:v>
                </c:pt>
                <c:pt idx="512">
                  <c:v>13.33699323492586</c:v>
                </c:pt>
                <c:pt idx="513">
                  <c:v>13.535279683285875</c:v>
                </c:pt>
                <c:pt idx="514">
                  <c:v>13.733642627786677</c:v>
                </c:pt>
                <c:pt idx="515">
                  <c:v>13.932078680220446</c:v>
                </c:pt>
                <c:pt idx="516">
                  <c:v>14.130584600117409</c:v>
                </c:pt>
                <c:pt idx="517">
                  <c:v>14.329157288507703</c:v>
                </c:pt>
                <c:pt idx="518">
                  <c:v>14.527793781928724</c:v>
                </c:pt>
                <c:pt idx="519">
                  <c:v>14.726491246670788</c:v>
                </c:pt>
                <c:pt idx="520">
                  <c:v>14.925246973251078</c:v>
                </c:pt>
                <c:pt idx="521">
                  <c:v>15.124058371110358</c:v>
                </c:pt>
                <c:pt idx="522">
                  <c:v>15.322922963522167</c:v>
                </c:pt>
                <c:pt idx="523">
                  <c:v>15.521838382710087</c:v>
                </c:pt>
                <c:pt idx="524">
                  <c:v>15.720802365163015</c:v>
                </c:pt>
                <c:pt idx="525">
                  <c:v>15.91981274714283</c:v>
                </c:pt>
                <c:pt idx="526">
                  <c:v>16.118867460376364</c:v>
                </c:pt>
                <c:pt idx="527">
                  <c:v>16.317964527926499</c:v>
                </c:pt>
                <c:pt idx="528">
                  <c:v>16.517102060233025</c:v>
                </c:pt>
                <c:pt idx="529">
                  <c:v>16.716278251320457</c:v>
                </c:pt>
                <c:pt idx="530">
                  <c:v>16.91549137516246</c:v>
                </c:pt>
                <c:pt idx="531">
                  <c:v>17.114739782200711</c:v>
                </c:pt>
                <c:pt idx="532">
                  <c:v>17.314021896008157</c:v>
                </c:pt>
                <c:pt idx="533">
                  <c:v>17.51333621009573</c:v>
                </c:pt>
                <c:pt idx="534">
                  <c:v>17.712681284852245</c:v>
                </c:pt>
                <c:pt idx="535">
                  <c:v>17.912055744615859</c:v>
                </c:pt>
                <c:pt idx="536">
                  <c:v>18.111458274868923</c:v>
                </c:pt>
                <c:pt idx="537">
                  <c:v>18.310887619553963</c:v>
                </c:pt>
                <c:pt idx="538">
                  <c:v>18.510342578503668</c:v>
                </c:pt>
                <c:pt idx="539">
                  <c:v>18.709822004981767</c:v>
                </c:pt>
                <c:pt idx="540">
                  <c:v>18.909324803329223</c:v>
                </c:pt>
                <c:pt idx="541">
                  <c:v>19.108849926712136</c:v>
                </c:pt>
              </c:numCache>
            </c:numRef>
          </c:yVal>
          <c:smooth val="1"/>
          <c:extLst>
            <c:ext xmlns:c16="http://schemas.microsoft.com/office/drawing/2014/chart" uri="{C3380CC4-5D6E-409C-BE32-E72D297353CC}">
              <c16:uniqueId val="{00000000-F7C0-4EEE-87E3-EE720F12A204}"/>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-26.843755289250481</c:v>
                </c:pt>
                <c:pt idx="1">
                  <c:v>-27.378229684137235</c:v>
                </c:pt>
                <c:pt idx="2">
                  <c:v>-27.919811299887527</c:v>
                </c:pt>
                <c:pt idx="3">
                  <c:v>-28.468396589871151</c:v>
                </c:pt>
                <c:pt idx="4">
                  <c:v>-29.023870333567313</c:v>
                </c:pt>
                <c:pt idx="5">
                  <c:v>-29.586105436360612</c:v>
                </c:pt>
                <c:pt idx="6">
                  <c:v>-30.154962764977441</c:v>
                </c:pt>
                <c:pt idx="7">
                  <c:v>-30.730291021642092</c:v>
                </c:pt>
                <c:pt idx="8">
                  <c:v>-31.311926659930659</c:v>
                </c:pt>
                <c:pt idx="9">
                  <c:v>-31.899693845156538</c:v>
                </c:pt>
                <c:pt idx="10">
                  <c:v>-32.493404461935249</c:v>
                </c:pt>
                <c:pt idx="11">
                  <c:v>-33.092858171342385</c:v>
                </c:pt>
                <c:pt idx="12">
                  <c:v>-33.697842519812262</c:v>
                </c:pt>
                <c:pt idx="13">
                  <c:v>-34.30813310160076</c:v>
                </c:pt>
                <c:pt idx="14">
                  <c:v>-34.92349377628463</c:v>
                </c:pt>
                <c:pt idx="15">
                  <c:v>-35.543676942370389</c:v>
                </c:pt>
                <c:pt idx="16">
                  <c:v>-36.168423867650972</c:v>
                </c:pt>
                <c:pt idx="17">
                  <c:v>-36.797465076491669</c:v>
                </c:pt>
                <c:pt idx="18">
                  <c:v>-37.430520793726267</c:v>
                </c:pt>
                <c:pt idx="19">
                  <c:v>-38.067301444340572</c:v>
                </c:pt>
                <c:pt idx="20">
                  <c:v>-38.707508207589662</c:v>
                </c:pt>
                <c:pt idx="21">
                  <c:v>-39.350833623663569</c:v>
                </c:pt>
                <c:pt idx="22">
                  <c:v>-39.996962250486959</c:v>
                </c:pt>
                <c:pt idx="23">
                  <c:v>-40.645571367708001</c:v>
                </c:pt>
                <c:pt idx="24">
                  <c:v>-41.296331724431461</c:v>
                </c:pt>
                <c:pt idx="25">
                  <c:v>-41.948908326773157</c:v>
                </c:pt>
                <c:pt idx="26">
                  <c:v>-42.602961260855942</c:v>
                </c:pt>
                <c:pt idx="27">
                  <c:v>-43.258146546477441</c:v>
                </c:pt>
                <c:pt idx="28">
                  <c:v>-43.914117016312915</c:v>
                </c:pt>
                <c:pt idx="29">
                  <c:v>-44.570523215225009</c:v>
                </c:pt>
                <c:pt idx="30">
                  <c:v>-45.227014314010049</c:v>
                </c:pt>
                <c:pt idx="31">
                  <c:v>-45.883239031740217</c:v>
                </c:pt>
                <c:pt idx="32">
                  <c:v>-46.538846560756774</c:v>
                </c:pt>
                <c:pt idx="33">
                  <c:v>-47.193487488339386</c:v>
                </c:pt>
                <c:pt idx="34">
                  <c:v>-47.846814709112479</c:v>
                </c:pt>
                <c:pt idx="35">
                  <c:v>-48.498484322364561</c:v>
                </c:pt>
                <c:pt idx="36">
                  <c:v>-49.148156508632631</c:v>
                </c:pt>
                <c:pt idx="37">
                  <c:v>-49.795496380150006</c:v>
                </c:pt>
                <c:pt idx="38">
                  <c:v>-50.440174800060106</c:v>
                </c:pt>
                <c:pt idx="39">
                  <c:v>-51.081869165660486</c:v>
                </c:pt>
                <c:pt idx="40">
                  <c:v>-51.720264151347969</c:v>
                </c:pt>
                <c:pt idx="41">
                  <c:v>-52.355052407393238</c:v>
                </c:pt>
                <c:pt idx="42">
                  <c:v>-52.985935211141182</c:v>
                </c:pt>
                <c:pt idx="43">
                  <c:v>-53.612623067761135</c:v>
                </c:pt>
                <c:pt idx="44">
                  <c:v>-54.234836258178433</c:v>
                </c:pt>
                <c:pt idx="45">
                  <c:v>-54.852305332361297</c:v>
                </c:pt>
                <c:pt idx="46">
                  <c:v>-55.464771546667905</c:v>
                </c:pt>
                <c:pt idx="47">
                  <c:v>-56.07198724447975</c:v>
                </c:pt>
                <c:pt idx="48">
                  <c:v>-56.673716179862232</c:v>
                </c:pt>
                <c:pt idx="49">
                  <c:v>-57.269733784477602</c:v>
                </c:pt>
                <c:pt idx="50">
                  <c:v>-57.859827378440393</c:v>
                </c:pt>
                <c:pt idx="51">
                  <c:v>-58.443796326229148</c:v>
                </c:pt>
                <c:pt idx="52">
                  <c:v>-59.021452139165525</c:v>
                </c:pt>
                <c:pt idx="53">
                  <c:v>-59.592618526324436</c:v>
                </c:pt>
                <c:pt idx="54">
                  <c:v>-60.157131396045003</c:v>
                </c:pt>
                <c:pt idx="55">
                  <c:v>-60.714838810489375</c:v>
                </c:pt>
                <c:pt idx="56">
                  <c:v>-61.265600895916137</c:v>
                </c:pt>
                <c:pt idx="57">
                  <c:v>-61.809289711516911</c:v>
                </c:pt>
                <c:pt idx="58">
                  <c:v>-62.345789079808441</c:v>
                </c:pt>
                <c:pt idx="59">
                  <c:v>-62.874994381668508</c:v>
                </c:pt>
                <c:pt idx="60">
                  <c:v>-63.396812319165342</c:v>
                </c:pt>
                <c:pt idx="61">
                  <c:v>-63.911160649356283</c:v>
                </c:pt>
                <c:pt idx="62">
                  <c:v>-64.417967892220915</c:v>
                </c:pt>
                <c:pt idx="63">
                  <c:v>-64.917173015856676</c:v>
                </c:pt>
                <c:pt idx="64">
                  <c:v>-65.408725101998314</c:v>
                </c:pt>
                <c:pt idx="65">
                  <c:v>-65.892582994832892</c:v>
                </c:pt>
                <c:pt idx="66">
                  <c:v>-66.368714935974879</c:v>
                </c:pt>
                <c:pt idx="67">
                  <c:v>-66.837098188335617</c:v>
                </c:pt>
                <c:pt idx="68">
                  <c:v>-67.297718651484018</c:v>
                </c:pt>
                <c:pt idx="69">
                  <c:v>-67.750570470943742</c:v>
                </c:pt>
                <c:pt idx="70">
                  <c:v>-68.195655643711277</c:v>
                </c:pt>
                <c:pt idx="71">
                  <c:v>-68.632983622116726</c:v>
                </c:pt>
                <c:pt idx="72">
                  <c:v>-69.062570917980267</c:v>
                </c:pt>
                <c:pt idx="73">
                  <c:v>-69.484440708851707</c:v>
                </c:pt>
                <c:pt idx="74">
                  <c:v>-69.898622447949862</c:v>
                </c:pt>
                <c:pt idx="75">
                  <c:v>-70.305151479256764</c:v>
                </c:pt>
                <c:pt idx="76">
                  <c:v>-70.704068659062145</c:v>
                </c:pt>
                <c:pt idx="77">
                  <c:v>-71.095419985097593</c:v>
                </c:pt>
                <c:pt idx="78">
                  <c:v>-71.479256234252489</c:v>
                </c:pt>
                <c:pt idx="79">
                  <c:v>-71.855632609723742</c:v>
                </c:pt>
                <c:pt idx="80">
                  <c:v>-72.224608398318253</c:v>
                </c:pt>
                <c:pt idx="81">
                  <c:v>-72.586246638499162</c:v>
                </c:pt>
                <c:pt idx="82">
                  <c:v>-72.940613799657967</c:v>
                </c:pt>
                <c:pt idx="83">
                  <c:v>-73.287779472977576</c:v>
                </c:pt>
                <c:pt idx="84">
                  <c:v>-73.627816074160776</c:v>
                </c:pt>
                <c:pt idx="85">
                  <c:v>-73.96079855820247</c:v>
                </c:pt>
                <c:pt idx="86">
                  <c:v>-74.286804146304917</c:v>
                </c:pt>
                <c:pt idx="87">
                  <c:v>-74.605912064958872</c:v>
                </c:pt>
                <c:pt idx="88">
                  <c:v>-74.918203297150754</c:v>
                </c:pt>
                <c:pt idx="89">
                  <c:v>-75.223760345592382</c:v>
                </c:pt>
                <c:pt idx="90">
                  <c:v>-75.522667007823003</c:v>
                </c:pt>
                <c:pt idx="91">
                  <c:v>-75.815008162983673</c:v>
                </c:pt>
                <c:pt idx="92">
                  <c:v>-76.100869570028991</c:v>
                </c:pt>
                <c:pt idx="93">
                  <c:v>-76.38033767710499</c:v>
                </c:pt>
                <c:pt idx="94">
                  <c:v>-76.65349944179674</c:v>
                </c:pt>
                <c:pt idx="95">
                  <c:v>-76.920442161923475</c:v>
                </c:pt>
                <c:pt idx="96">
                  <c:v>-77.181253316543859</c:v>
                </c:pt>
                <c:pt idx="97">
                  <c:v>-77.436020416816916</c:v>
                </c:pt>
                <c:pt idx="98">
                  <c:v>-77.684830866354773</c:v>
                </c:pt>
                <c:pt idx="99">
                  <c:v>-77.927771830696543</c:v>
                </c:pt>
                <c:pt idx="100">
                  <c:v>-78.164930115526559</c:v>
                </c:pt>
                <c:pt idx="101">
                  <c:v>-78.396392053260499</c:v>
                </c:pt>
                <c:pt idx="102">
                  <c:v>-78.622243397622</c:v>
                </c:pt>
                <c:pt idx="103">
                  <c:v>-78.842569225835362</c:v>
                </c:pt>
                <c:pt idx="104">
                  <c:v>-79.057453848065009</c:v>
                </c:pt>
                <c:pt idx="105">
                  <c:v>-79.266980723737092</c:v>
                </c:pt>
                <c:pt idx="106">
                  <c:v>-79.47123238438661</c:v>
                </c:pt>
                <c:pt idx="107">
                  <c:v>-79.670290362681271</c:v>
                </c:pt>
                <c:pt idx="108">
                  <c:v>-79.864235127282527</c:v>
                </c:pt>
                <c:pt idx="109">
                  <c:v>-80.053146023214325</c:v>
                </c:pt>
                <c:pt idx="110">
                  <c:v>-80.237101217419806</c:v>
                </c:pt>
                <c:pt idx="111">
                  <c:v>-80.416177649197877</c:v>
                </c:pt>
                <c:pt idx="112">
                  <c:v>-80.590450985221736</c:v>
                </c:pt>
                <c:pt idx="113">
                  <c:v>-80.759995578854543</c:v>
                </c:pt>
                <c:pt idx="114">
                  <c:v>-80.924884433485886</c:v>
                </c:pt>
                <c:pt idx="115">
                  <c:v>-81.085189169627512</c:v>
                </c:pt>
                <c:pt idx="116">
                  <c:v>-81.240979995516099</c:v>
                </c:pt>
                <c:pt idx="117">
                  <c:v>-81.392325680982609</c:v>
                </c:pt>
                <c:pt idx="118">
                  <c:v>-81.539293534359075</c:v>
                </c:pt>
                <c:pt idx="119">
                  <c:v>-81.681949382204962</c:v>
                </c:pt>
                <c:pt idx="120">
                  <c:v>-81.820357551645401</c:v>
                </c:pt>
                <c:pt idx="121">
                  <c:v>-81.954580855124121</c:v>
                </c:pt>
                <c:pt idx="122">
                  <c:v>-82.084680577384248</c:v>
                </c:pt>
                <c:pt idx="123">
                  <c:v>-82.210716464500592</c:v>
                </c:pt>
                <c:pt idx="124">
                  <c:v>-82.332746714794638</c:v>
                </c:pt>
                <c:pt idx="125">
                  <c:v>-82.450827971475093</c:v>
                </c:pt>
                <c:pt idx="126">
                  <c:v>-82.565015316854229</c:v>
                </c:pt>
                <c:pt idx="127">
                  <c:v>-82.675362267998025</c:v>
                </c:pt>
                <c:pt idx="128">
                  <c:v>-82.781920773678678</c:v>
                </c:pt>
                <c:pt idx="129">
                  <c:v>-82.884741212503712</c:v>
                </c:pt>
                <c:pt idx="130">
                  <c:v>-82.983872392103592</c:v>
                </c:pt>
                <c:pt idx="131">
                  <c:v>-83.079361549268228</c:v>
                </c:pt>
                <c:pt idx="132">
                  <c:v>-83.171254350927853</c:v>
                </c:pt>
                <c:pt idx="133">
                  <c:v>-83.259594895881705</c:v>
                </c:pt>
                <c:pt idx="134">
                  <c:v>-83.344425717182389</c:v>
                </c:pt>
                <c:pt idx="135">
                  <c:v>-83.425787785091657</c:v>
                </c:pt>
                <c:pt idx="136">
                  <c:v>-83.503720510527117</c:v>
                </c:pt>
                <c:pt idx="137">
                  <c:v>-83.578261748925797</c:v>
                </c:pt>
                <c:pt idx="138">
                  <c:v>-83.649447804454738</c:v>
                </c:pt>
                <c:pt idx="139">
                  <c:v>-83.71731343450432</c:v>
                </c:pt>
                <c:pt idx="140">
                  <c:v>-83.781891854403298</c:v>
                </c:pt>
                <c:pt idx="141">
                  <c:v>-83.843214742300503</c:v>
                </c:pt>
                <c:pt idx="142">
                  <c:v>-83.901312244160565</c:v>
                </c:pt>
                <c:pt idx="143">
                  <c:v>-83.956212978825548</c:v>
                </c:pt>
                <c:pt idx="144">
                  <c:v>-84.007944043098576</c:v>
                </c:pt>
                <c:pt idx="145">
                  <c:v>-84.056531016807327</c:v>
                </c:pt>
                <c:pt idx="146">
                  <c:v>-84.101997967810831</c:v>
                </c:pt>
                <c:pt idx="147">
                  <c:v>-84.144367456913486</c:v>
                </c:pt>
                <c:pt idx="148">
                  <c:v>-84.183660542656185</c:v>
                </c:pt>
                <c:pt idx="149">
                  <c:v>-84.219896785953708</c:v>
                </c:pt>
                <c:pt idx="150">
                  <c:v>-84.253094254553403</c:v>
                </c:pt>
                <c:pt idx="151">
                  <c:v>-84.283269527291409</c:v>
                </c:pt>
                <c:pt idx="152">
                  <c:v>-84.310437698124005</c:v>
                </c:pt>
                <c:pt idx="153">
                  <c:v>-84.334612379916393</c:v>
                </c:pt>
                <c:pt idx="154">
                  <c:v>-84.355805707971456</c:v>
                </c:pt>
                <c:pt idx="155">
                  <c:v>-84.374028343284181</c:v>
                </c:pt>
                <c:pt idx="156">
                  <c:v>-84.389289475509401</c:v>
                </c:pt>
                <c:pt idx="157">
                  <c:v>-84.40159682563214</c:v>
                </c:pt>
                <c:pt idx="158">
                  <c:v>-84.410956648332473</c:v>
                </c:pt>
                <c:pt idx="159">
                  <c:v>-84.417373734038335</c:v>
                </c:pt>
                <c:pt idx="160">
                  <c:v>-84.420851410661555</c:v>
                </c:pt>
                <c:pt idx="161">
                  <c:v>-84.421391545014686</c:v>
                </c:pt>
                <c:pt idx="162">
                  <c:v>-84.418994543907672</c:v>
                </c:pt>
                <c:pt idx="163">
                  <c:v>-84.413659354925386</c:v>
                </c:pt>
                <c:pt idx="164">
                  <c:v>-84.405383466889148</c:v>
                </c:pt>
                <c:pt idx="165">
                  <c:v>-84.394162910006855</c:v>
                </c:pt>
                <c:pt idx="166">
                  <c:v>-84.379992255718406</c:v>
                </c:pt>
                <c:pt idx="167">
                  <c:v>-84.362864616245147</c:v>
                </c:pt>
                <c:pt idx="168">
                  <c:v>-84.342771643854107</c:v>
                </c:pt>
                <c:pt idx="169">
                  <c:v>-84.319703529849065</c:v>
                </c:pt>
                <c:pt idx="170">
                  <c:v>-84.293649003303742</c:v>
                </c:pt>
                <c:pt idx="171">
                  <c:v>-84.264595329553799</c:v>
                </c:pt>
                <c:pt idx="172">
                  <c:v>-84.232528308466016</c:v>
                </c:pt>
                <c:pt idx="173">
                  <c:v>-84.197432272507356</c:v>
                </c:pt>
                <c:pt idx="174">
                  <c:v>-84.159290084635927</c:v>
                </c:pt>
                <c:pt idx="175">
                  <c:v>-84.118083136041577</c:v>
                </c:pt>
                <c:pt idx="176">
                  <c:v>-84.073791343763901</c:v>
                </c:pt>
                <c:pt idx="177">
                  <c:v>-84.026393148220123</c:v>
                </c:pt>
                <c:pt idx="178">
                  <c:v>-83.975865510676215</c:v>
                </c:pt>
                <c:pt idx="179">
                  <c:v>-83.922183910699843</c:v>
                </c:pt>
                <c:pt idx="180">
                  <c:v>-83.865322343635157</c:v>
                </c:pt>
                <c:pt idx="181">
                  <c:v>-83.805253318143727</c:v>
                </c:pt>
                <c:pt idx="182">
                  <c:v>-83.741947853858804</c:v>
                </c:pt>
                <c:pt idx="183">
                  <c:v>-83.67537547920486</c:v>
                </c:pt>
                <c:pt idx="184">
                  <c:v>-83.605504229436889</c:v>
                </c:pt>
                <c:pt idx="185">
                  <c:v>-83.532300644959534</c:v>
                </c:pt>
                <c:pt idx="186">
                  <c:v>-83.455729769989134</c:v>
                </c:pt>
                <c:pt idx="187">
                  <c:v>-83.375755151627843</c:v>
                </c:pt>
                <c:pt idx="188">
                  <c:v>-83.292338839422271</c:v>
                </c:pt>
                <c:pt idx="189">
                  <c:v>-83.20544138548577</c:v>
                </c:pt>
                <c:pt idx="190">
                  <c:v>-83.115021845267592</c:v>
                </c:pt>
                <c:pt idx="191">
                  <c:v>-83.021037779058787</c:v>
                </c:pt>
                <c:pt idx="192">
                  <c:v>-82.92344525433046</c:v>
                </c:pt>
                <c:pt idx="193">
                  <c:v>-82.8221988490059</c:v>
                </c:pt>
                <c:pt idx="194">
                  <c:v>-82.717251655775101</c:v>
                </c:pt>
                <c:pt idx="195">
                  <c:v>-82.608555287567427</c:v>
                </c:pt>
                <c:pt idx="196">
                  <c:v>-82.496059884304486</c:v>
                </c:pt>
                <c:pt idx="197">
                  <c:v>-82.379714121064595</c:v>
                </c:pt>
                <c:pt idx="198">
                  <c:v>-82.25946521779602</c:v>
                </c:pt>
                <c:pt idx="199">
                  <c:v>-82.135258950725984</c:v>
                </c:pt>
                <c:pt idx="200">
                  <c:v>-82.007039665621704</c:v>
                </c:pt>
                <c:pt idx="201">
                  <c:v>-81.874750293065972</c:v>
                </c:pt>
                <c:pt idx="202">
                  <c:v>-81.738332365922872</c:v>
                </c:pt>
                <c:pt idx="203">
                  <c:v>-81.597726039175598</c:v>
                </c:pt>
                <c:pt idx="204">
                  <c:v>-81.452870112330729</c:v>
                </c:pt>
                <c:pt idx="205">
                  <c:v>-81.303702054591952</c:v>
                </c:pt>
                <c:pt idx="206">
                  <c:v>-81.150158033018528</c:v>
                </c:pt>
                <c:pt idx="207">
                  <c:v>-80.992172943892342</c:v>
                </c:pt>
                <c:pt idx="208">
                  <c:v>-80.8296804475317</c:v>
                </c:pt>
                <c:pt idx="209">
                  <c:v>-80.662613006797443</c:v>
                </c:pt>
                <c:pt idx="210">
                  <c:v>-80.490901929551924</c:v>
                </c:pt>
                <c:pt idx="211">
                  <c:v>-80.314477415340605</c:v>
                </c:pt>
                <c:pt idx="212">
                  <c:v>-80.133268606578511</c:v>
                </c:pt>
                <c:pt idx="213">
                  <c:v>-79.947203644534781</c:v>
                </c:pt>
                <c:pt idx="214">
                  <c:v>-79.756209730419997</c:v>
                </c:pt>
                <c:pt idx="215">
                  <c:v>-79.560213191892558</c:v>
                </c:pt>
                <c:pt idx="216">
                  <c:v>-79.359139555310179</c:v>
                </c:pt>
                <c:pt idx="217">
                  <c:v>-79.152913624062293</c:v>
                </c:pt>
                <c:pt idx="218">
                  <c:v>-78.941459563331932</c:v>
                </c:pt>
                <c:pt idx="219">
                  <c:v>-78.724700991638414</c:v>
                </c:pt>
                <c:pt idx="220">
                  <c:v>-78.502561079527723</c:v>
                </c:pt>
                <c:pt idx="221">
                  <c:v>-78.274962655775767</c:v>
                </c:pt>
                <c:pt idx="222">
                  <c:v>-78.041828321482143</c:v>
                </c:pt>
                <c:pt idx="223">
                  <c:v>-77.803080572430744</c:v>
                </c:pt>
                <c:pt idx="224">
                  <c:v>-77.558641930098119</c:v>
                </c:pt>
                <c:pt idx="225">
                  <c:v>-77.308435081687733</c:v>
                </c:pt>
                <c:pt idx="226">
                  <c:v>-77.052383029567338</c:v>
                </c:pt>
                <c:pt idx="227">
                  <c:v>-76.790409250481019</c:v>
                </c:pt>
                <c:pt idx="228">
                  <c:v>-76.522437864896034</c:v>
                </c:pt>
                <c:pt idx="229">
                  <c:v>-76.248393816834422</c:v>
                </c:pt>
                <c:pt idx="230">
                  <c:v>-75.968203064525753</c:v>
                </c:pt>
                <c:pt idx="231">
                  <c:v>-75.681792782187955</c:v>
                </c:pt>
                <c:pt idx="232">
                  <c:v>-75.389091573231667</c:v>
                </c:pt>
                <c:pt idx="233">
                  <c:v>-75.090029695138142</c:v>
                </c:pt>
                <c:pt idx="234">
                  <c:v>-74.784539296237782</c:v>
                </c:pt>
                <c:pt idx="235">
                  <c:v>-74.472554664567795</c:v>
                </c:pt>
                <c:pt idx="236">
                  <c:v>-74.154012488938832</c:v>
                </c:pt>
                <c:pt idx="237">
                  <c:v>-73.828852132289896</c:v>
                </c:pt>
                <c:pt idx="238">
                  <c:v>-73.497015917344825</c:v>
                </c:pt>
                <c:pt idx="239">
                  <c:v>-73.158449424513876</c:v>
                </c:pt>
                <c:pt idx="240">
                  <c:v>-72.813101801910506</c:v>
                </c:pt>
                <c:pt idx="241">
                  <c:v>-72.460926087258713</c:v>
                </c:pt>
                <c:pt idx="242">
                  <c:v>-72.101879541382459</c:v>
                </c:pt>
                <c:pt idx="243">
                  <c:v>-71.735923992856513</c:v>
                </c:pt>
                <c:pt idx="244">
                  <c:v>-71.363026193292598</c:v>
                </c:pt>
                <c:pt idx="245">
                  <c:v>-70.98315818260933</c:v>
                </c:pt>
                <c:pt idx="246">
                  <c:v>-70.59629766351155</c:v>
                </c:pt>
                <c:pt idx="247">
                  <c:v>-70.20242838426087</c:v>
                </c:pt>
                <c:pt idx="248">
                  <c:v>-69.801540528683304</c:v>
                </c:pt>
                <c:pt idx="249">
                  <c:v>-69.393631112199415</c:v>
                </c:pt>
                <c:pt idx="250">
                  <c:v>-68.978704382514351</c:v>
                </c:pt>
                <c:pt idx="251">
                  <c:v>-68.556772223436212</c:v>
                </c:pt>
                <c:pt idx="252">
                  <c:v>-68.127854560128611</c:v>
                </c:pt>
                <c:pt idx="253">
                  <c:v>-67.691979763934143</c:v>
                </c:pt>
                <c:pt idx="254">
                  <c:v>-67.249185054741559</c:v>
                </c:pt>
                <c:pt idx="255">
                  <c:v>-66.799516898693327</c:v>
                </c:pt>
                <c:pt idx="256">
                  <c:v>-66.343031398882218</c:v>
                </c:pt>
                <c:pt idx="257">
                  <c:v>-65.879794676514862</c:v>
                </c:pt>
                <c:pt idx="258">
                  <c:v>-65.409883239885204</c:v>
                </c:pt>
                <c:pt idx="259">
                  <c:v>-64.933384338360398</c:v>
                </c:pt>
                <c:pt idx="260">
                  <c:v>-64.450396298464639</c:v>
                </c:pt>
                <c:pt idx="261">
                  <c:v>-63.961028839044587</c:v>
                </c:pt>
                <c:pt idx="262">
                  <c:v>-63.465403362424851</c:v>
                </c:pt>
                <c:pt idx="263">
                  <c:v>-62.96365321840328</c:v>
                </c:pt>
                <c:pt idx="264">
                  <c:v>-62.45592393791491</c:v>
                </c:pt>
                <c:pt idx="265">
                  <c:v>-61.942373433199009</c:v>
                </c:pt>
                <c:pt idx="266">
                  <c:v>-61.423172161343885</c:v>
                </c:pt>
                <c:pt idx="267">
                  <c:v>-60.898503248162044</c:v>
                </c:pt>
                <c:pt idx="268">
                  <c:v>-60.368562569471166</c:v>
                </c:pt>
                <c:pt idx="269">
                  <c:v>-59.833558787006552</c:v>
                </c:pt>
                <c:pt idx="270">
                  <c:v>-59.293713336404487</c:v>
                </c:pt>
                <c:pt idx="271">
                  <c:v>-58.749260364929796</c:v>
                </c:pt>
                <c:pt idx="272">
                  <c:v>-58.200446616921568</c:v>
                </c:pt>
                <c:pt idx="273">
                  <c:v>-57.647531265250016</c:v>
                </c:pt>
                <c:pt idx="274">
                  <c:v>-57.0907856874583</c:v>
                </c:pt>
                <c:pt idx="275">
                  <c:v>-56.530493185669926</c:v>
                </c:pt>
                <c:pt idx="276">
                  <c:v>-55.966948649785174</c:v>
                </c:pt>
                <c:pt idx="277">
                  <c:v>-55.400458163965681</c:v>
                </c:pt>
                <c:pt idx="278">
                  <c:v>-54.831338556902111</c:v>
                </c:pt>
                <c:pt idx="279">
                  <c:v>-54.259916896884256</c:v>
                </c:pt>
                <c:pt idx="280">
                  <c:v>-53.686529933210799</c:v>
                </c:pt>
                <c:pt idx="281">
                  <c:v>-53.111523486019109</c:v>
                </c:pt>
                <c:pt idx="282">
                  <c:v>-52.535251787138236</c:v>
                </c:pt>
                <c:pt idx="283">
                  <c:v>-51.958076775086994</c:v>
                </c:pt>
                <c:pt idx="284">
                  <c:v>-51.380367347835076</c:v>
                </c:pt>
                <c:pt idx="285">
                  <c:v>-50.802498577415719</c:v>
                </c:pt>
                <c:pt idx="286">
                  <c:v>-50.224850890902822</c:v>
                </c:pt>
                <c:pt idx="287">
                  <c:v>-49.647809222655276</c:v>
                </c:pt>
                <c:pt idx="288">
                  <c:v>-49.071762143064895</c:v>
                </c:pt>
                <c:pt idx="289">
                  <c:v>-48.49710096932111</c:v>
                </c:pt>
                <c:pt idx="290">
                  <c:v>-47.924218863910362</c:v>
                </c:pt>
                <c:pt idx="291">
                  <c:v>-47.353509926729934</c:v>
                </c:pt>
                <c:pt idx="292">
                  <c:v>-46.785368286751442</c:v>
                </c:pt>
                <c:pt idx="293">
                  <c:v>-46.220187199189454</c:v>
                </c:pt>
                <c:pt idx="294">
                  <c:v>-45.65835815405503</c:v>
                </c:pt>
                <c:pt idx="295">
                  <c:v>-45.100270001833621</c:v>
                </c:pt>
                <c:pt idx="296">
                  <c:v>-44.546308101828899</c:v>
                </c:pt>
                <c:pt idx="297">
                  <c:v>-43.996853498436927</c:v>
                </c:pt>
                <c:pt idx="298">
                  <c:v>-43.45228213028723</c:v>
                </c:pt>
                <c:pt idx="299">
                  <c:v>-42.912964076808926</c:v>
                </c:pt>
                <c:pt idx="300">
                  <c:v>-42.379262846348333</c:v>
                </c:pt>
                <c:pt idx="301">
                  <c:v>-41.85153470950015</c:v>
                </c:pt>
                <c:pt idx="302">
                  <c:v>-41.330128080817175</c:v>
                </c:pt>
                <c:pt idx="303">
                  <c:v>-40.815382951544692</c:v>
                </c:pt>
                <c:pt idx="304">
                  <c:v>-40.307630375494583</c:v>
                </c:pt>
                <c:pt idx="305">
                  <c:v>-39.807192009632757</c:v>
                </c:pt>
                <c:pt idx="306">
                  <c:v>-39.314379710425243</c:v>
                </c:pt>
                <c:pt idx="307">
                  <c:v>-38.829495186458033</c:v>
                </c:pt>
                <c:pt idx="308">
                  <c:v>-38.352829707338891</c:v>
                </c:pt>
                <c:pt idx="309">
                  <c:v>-37.884663868409852</c:v>
                </c:pt>
                <c:pt idx="310">
                  <c:v>-37.425267410337703</c:v>
                </c:pt>
                <c:pt idx="311">
                  <c:v>-36.974899092236534</c:v>
                </c:pt>
                <c:pt idx="312">
                  <c:v>-36.533806616580847</c:v>
                </c:pt>
                <c:pt idx="313">
                  <c:v>-36.102226603835483</c:v>
                </c:pt>
                <c:pt idx="314">
                  <c:v>-35.680384614418607</c:v>
                </c:pt>
                <c:pt idx="315">
                  <c:v>-35.268495215354832</c:v>
                </c:pt>
                <c:pt idx="316">
                  <c:v>-34.866762088763089</c:v>
                </c:pt>
                <c:pt idx="317">
                  <c:v>-34.475378179144883</c:v>
                </c:pt>
                <c:pt idx="318">
                  <c:v>-34.094525876311167</c:v>
                </c:pt>
                <c:pt idx="319">
                  <c:v>-33.724377230686557</c:v>
                </c:pt>
                <c:pt idx="320">
                  <c:v>-33.365094197679383</c:v>
                </c:pt>
                <c:pt idx="321">
                  <c:v>-33.01682890778455</c:v>
                </c:pt>
                <c:pt idx="322">
                  <c:v>-32.679723959092023</c:v>
                </c:pt>
                <c:pt idx="323">
                  <c:v>-32.35391272891998</c:v>
                </c:pt>
                <c:pt idx="324">
                  <c:v>-32.039519701349271</c:v>
                </c:pt>
                <c:pt idx="325">
                  <c:v>-31.736660807531795</c:v>
                </c:pt>
                <c:pt idx="326">
                  <c:v>-31.445443775740557</c:v>
                </c:pt>
                <c:pt idx="327">
                  <c:v>-31.165968488258901</c:v>
                </c:pt>
                <c:pt idx="328">
                  <c:v>-30.898327342334035</c:v>
                </c:pt>
                <c:pt idx="329">
                  <c:v>-30.642605612568079</c:v>
                </c:pt>
                <c:pt idx="330">
                  <c:v>-30.398881812266271</c:v>
                </c:pt>
                <c:pt idx="331">
                  <c:v>-30.167228051416973</c:v>
                </c:pt>
                <c:pt idx="332">
                  <c:v>-29.947710389136958</c:v>
                </c:pt>
                <c:pt idx="333">
                  <c:v>-29.74038917856597</c:v>
                </c:pt>
                <c:pt idx="334">
                  <c:v>-29.545319402358558</c:v>
                </c:pt>
                <c:pt idx="335">
                  <c:v>-29.362550997061941</c:v>
                </c:pt>
                <c:pt idx="336">
                  <c:v>-29.19212916482654</c:v>
                </c:pt>
                <c:pt idx="337">
                  <c:v>-29.034094671028363</c:v>
                </c:pt>
                <c:pt idx="338">
                  <c:v>-28.888484126523871</c:v>
                </c:pt>
                <c:pt idx="339">
                  <c:v>-28.755330253387648</c:v>
                </c:pt>
                <c:pt idx="340">
                  <c:v>-28.634662133098619</c:v>
                </c:pt>
                <c:pt idx="341">
                  <c:v>-28.526505436262823</c:v>
                </c:pt>
                <c:pt idx="342">
                  <c:v>-28.430882633065391</c:v>
                </c:pt>
                <c:pt idx="343">
                  <c:v>-28.34781318374214</c:v>
                </c:pt>
                <c:pt idx="344">
                  <c:v>-28.277313708461154</c:v>
                </c:pt>
                <c:pt idx="345">
                  <c:v>-28.219398136085179</c:v>
                </c:pt>
                <c:pt idx="346">
                  <c:v>-28.174077831373083</c:v>
                </c:pt>
                <c:pt idx="347">
                  <c:v>-28.141361700252624</c:v>
                </c:pt>
                <c:pt idx="348">
                  <c:v>-28.121256272866468</c:v>
                </c:pt>
                <c:pt idx="349">
                  <c:v>-28.113765764164484</c:v>
                </c:pt>
                <c:pt idx="350">
                  <c:v>-28.118892111880445</c:v>
                </c:pt>
                <c:pt idx="351">
                  <c:v>-28.13663499178837</c:v>
                </c:pt>
                <c:pt idx="352">
                  <c:v>-28.166991810203506</c:v>
                </c:pt>
                <c:pt idx="353">
                  <c:v>-28.209957673743844</c:v>
                </c:pt>
                <c:pt idx="354">
                  <c:v>-28.265525336437474</c:v>
                </c:pt>
                <c:pt idx="355">
                  <c:v>-28.333685124316816</c:v>
                </c:pt>
                <c:pt idx="356">
                  <c:v>-28.414424837708694</c:v>
                </c:pt>
                <c:pt idx="357">
                  <c:v>-28.50772963149296</c:v>
                </c:pt>
                <c:pt idx="358">
                  <c:v>-28.613581873675589</c:v>
                </c:pt>
                <c:pt idx="359">
                  <c:v>-28.731960982695142</c:v>
                </c:pt>
                <c:pt idx="360">
                  <c:v>-28.862843243961748</c:v>
                </c:pt>
                <c:pt idx="361">
                  <c:v>-29.006201606212798</c:v>
                </c:pt>
                <c:pt idx="362">
                  <c:v>-29.162005458363165</c:v>
                </c:pt>
                <c:pt idx="363">
                  <c:v>-29.330220387623875</c:v>
                </c:pt>
                <c:pt idx="364">
                  <c:v>-29.510807919769423</c:v>
                </c:pt>
                <c:pt idx="365">
                  <c:v>-29.703725242545513</c:v>
                </c:pt>
                <c:pt idx="366">
                  <c:v>-29.90892491333145</c:v>
                </c:pt>
                <c:pt idx="367">
                  <c:v>-30.1263545522953</c:v>
                </c:pt>
                <c:pt idx="368">
                  <c:v>-30.35595652241312</c:v>
                </c:pt>
                <c:pt idx="369">
                  <c:v>-30.597667597868472</c:v>
                </c:pt>
                <c:pt idx="370">
                  <c:v>-30.85141862248587</c:v>
                </c:pt>
                <c:pt idx="371">
                  <c:v>-31.117134160011272</c:v>
                </c:pt>
                <c:pt idx="372">
                  <c:v>-31.394732138200624</c:v>
                </c:pt>
                <c:pt idx="373">
                  <c:v>-31.684123488832018</c:v>
                </c:pt>
                <c:pt idx="374">
                  <c:v>-31.98521178592215</c:v>
                </c:pt>
                <c:pt idx="375">
                  <c:v>-32.297892884574253</c:v>
                </c:pt>
                <c:pt idx="376">
                  <c:v>-32.622054563037658</c:v>
                </c:pt>
                <c:pt idx="377">
                  <c:v>-32.957576170713693</c:v>
                </c:pt>
                <c:pt idx="378">
                  <c:v>-33.304328284961855</c:v>
                </c:pt>
                <c:pt idx="379">
                  <c:v>-33.662172379708281</c:v>
                </c:pt>
                <c:pt idx="380">
                  <c:v>-34.030960508947857</c:v>
                </c:pt>
                <c:pt idx="381">
                  <c:v>-34.410535008338769</c:v>
                </c:pt>
                <c:pt idx="382">
                  <c:v>-34.800728218157111</c:v>
                </c:pt>
                <c:pt idx="383">
                  <c:v>-35.20136223092095</c:v>
                </c:pt>
                <c:pt idx="384">
                  <c:v>-35.612248667025298</c:v>
                </c:pt>
                <c:pt idx="385">
                  <c:v>-36.03318848170526</c:v>
                </c:pt>
                <c:pt idx="386">
                  <c:v>-36.463971806612314</c:v>
                </c:pt>
                <c:pt idx="387">
                  <c:v>-36.904377829201209</c:v>
                </c:pt>
                <c:pt idx="388">
                  <c:v>-37.354174713003779</c:v>
                </c:pt>
                <c:pt idx="389">
                  <c:v>-37.813119561715084</c:v>
                </c:pt>
                <c:pt idx="390">
                  <c:v>-38.280958429799014</c:v>
                </c:pt>
                <c:pt idx="391">
                  <c:v>-38.757426382091872</c:v>
                </c:pt>
                <c:pt idx="392">
                  <c:v>-39.242247604576853</c:v>
                </c:pt>
                <c:pt idx="393">
                  <c:v>-39.735135568188412</c:v>
                </c:pt>
                <c:pt idx="394">
                  <c:v>-40.23579324711698</c:v>
                </c:pt>
                <c:pt idx="395">
                  <c:v>-40.743913392685734</c:v>
                </c:pt>
                <c:pt idx="396">
                  <c:v>-41.259178863424687</c:v>
                </c:pt>
                <c:pt idx="397">
                  <c:v>-41.78126301148928</c:v>
                </c:pt>
                <c:pt idx="398">
                  <c:v>-42.309830125069006</c:v>
                </c:pt>
                <c:pt idx="399">
                  <c:v>-42.844535925919615</c:v>
                </c:pt>
                <c:pt idx="400">
                  <c:v>-43.385028120610698</c:v>
                </c:pt>
                <c:pt idx="401">
                  <c:v>-43.93094700354807</c:v>
                </c:pt>
                <c:pt idx="402">
                  <c:v>-44.481926109295003</c:v>
                </c:pt>
                <c:pt idx="403">
                  <c:v>-45.037592911192498</c:v>
                </c:pt>
                <c:pt idx="404">
                  <c:v>-45.597569562770822</c:v>
                </c:pt>
                <c:pt idx="405">
                  <c:v>-46.16147367797403</c:v>
                </c:pt>
                <c:pt idx="406">
                  <c:v>-46.728919145770462</c:v>
                </c:pt>
                <c:pt idx="407">
                  <c:v>-47.299516974333024</c:v>
                </c:pt>
                <c:pt idx="408">
                  <c:v>-47.872876159618365</c:v>
                </c:pt>
                <c:pt idx="409">
                  <c:v>-48.448604572892179</c:v>
                </c:pt>
                <c:pt idx="410">
                  <c:v>-49.026309861513006</c:v>
                </c:pt>
                <c:pt idx="411">
                  <c:v>-49.605600357134442</c:v>
                </c:pt>
                <c:pt idx="412">
                  <c:v>-50.186085985387876</c:v>
                </c:pt>
                <c:pt idx="413">
                  <c:v>-50.767379171096636</c:v>
                </c:pt>
                <c:pt idx="414">
                  <c:v>-51.349095733114048</c:v>
                </c:pt>
                <c:pt idx="415">
                  <c:v>-51.930855763013689</c:v>
                </c:pt>
                <c:pt idx="416">
                  <c:v>-52.512284482042261</c:v>
                </c:pt>
                <c:pt idx="417">
                  <c:v>-53.093013071005579</c:v>
                </c:pt>
                <c:pt idx="418">
                  <c:v>-53.672679468074712</c:v>
                </c:pt>
                <c:pt idx="419">
                  <c:v>-54.25092912986549</c:v>
                </c:pt>
                <c:pt idx="420">
                  <c:v>-54.827415751567358</c:v>
                </c:pt>
                <c:pt idx="421">
                  <c:v>-55.401801942348293</c:v>
                </c:pt>
                <c:pt idx="422">
                  <c:v>-55.973759852750824</c:v>
                </c:pt>
                <c:pt idx="423">
                  <c:v>-56.542971751315882</c:v>
                </c:pt>
                <c:pt idx="424">
                  <c:v>-57.109130548176225</c:v>
                </c:pt>
                <c:pt idx="425">
                  <c:v>-57.671940263918728</c:v>
                </c:pt>
                <c:pt idx="426">
                  <c:v>-58.231116442525483</c:v>
                </c:pt>
                <c:pt idx="427">
                  <c:v>-58.786386507737177</c:v>
                </c:pt>
                <c:pt idx="428">
                  <c:v>-59.33749006267999</c:v>
                </c:pt>
                <c:pt idx="429">
                  <c:v>-59.884179133090463</c:v>
                </c:pt>
                <c:pt idx="430">
                  <c:v>-60.426218354910844</c:v>
                </c:pt>
                <c:pt idx="431">
                  <c:v>-60.963385107466287</c:v>
                </c:pt>
                <c:pt idx="432">
                  <c:v>-61.495469593803591</c:v>
                </c:pt>
                <c:pt idx="433">
                  <c:v>-62.022274870130609</c:v>
                </c:pt>
                <c:pt idx="434">
                  <c:v>-62.543616826583467</c:v>
                </c:pt>
                <c:pt idx="435">
                  <c:v>-63.059324121818676</c:v>
                </c:pt>
                <c:pt idx="436">
                  <c:v>-63.569238074139804</c:v>
                </c:pt>
                <c:pt idx="437">
                  <c:v>-64.073212512040101</c:v>
                </c:pt>
                <c:pt idx="438">
                  <c:v>-64.571113587174352</c:v>
                </c:pt>
                <c:pt idx="439">
                  <c:v>-65.062819552867225</c:v>
                </c:pt>
                <c:pt idx="440">
                  <c:v>-65.548220511312266</c:v>
                </c:pt>
                <c:pt idx="441">
                  <c:v>-66.027218132639945</c:v>
                </c:pt>
                <c:pt idx="442">
                  <c:v>-66.499725349012138</c:v>
                </c:pt>
                <c:pt idx="443">
                  <c:v>-66.965666026857747</c:v>
                </c:pt>
                <c:pt idx="444">
                  <c:v>-67.42497462029624</c:v>
                </c:pt>
                <c:pt idx="445">
                  <c:v>-67.877595808697109</c:v>
                </c:pt>
                <c:pt idx="446">
                  <c:v>-68.323484121210896</c:v>
                </c:pt>
                <c:pt idx="447">
                  <c:v>-68.762603550983741</c:v>
                </c:pt>
                <c:pt idx="448">
                  <c:v>-69.194927161612952</c:v>
                </c:pt>
                <c:pt idx="449">
                  <c:v>-69.620436688260995</c:v>
                </c:pt>
                <c:pt idx="450">
                  <c:v>-70.039122135673708</c:v>
                </c:pt>
                <c:pt idx="451">
                  <c:v>-70.450981375191219</c:v>
                </c:pt>
                <c:pt idx="452">
                  <c:v>-70.856019742667527</c:v>
                </c:pt>
                <c:pt idx="453">
                  <c:v>-71.254249639048311</c:v>
                </c:pt>
                <c:pt idx="454">
                  <c:v>-71.645690135191714</c:v>
                </c:pt>
                <c:pt idx="455">
                  <c:v>-72.030366582349117</c:v>
                </c:pt>
                <c:pt idx="456">
                  <c:v>-72.408310229568471</c:v>
                </c:pt>
                <c:pt idx="457">
                  <c:v>-72.779557849127883</c:v>
                </c:pt>
                <c:pt idx="458">
                  <c:v>-73.144151370959705</c:v>
                </c:pt>
                <c:pt idx="459">
                  <c:v>-73.502137526886997</c:v>
                </c:pt>
                <c:pt idx="460">
                  <c:v>-73.853567505364381</c:v>
                </c:pt>
                <c:pt idx="461">
                  <c:v>-74.198496617289308</c:v>
                </c:pt>
                <c:pt idx="462">
                  <c:v>-74.536983973338138</c:v>
                </c:pt>
                <c:pt idx="463">
                  <c:v>-74.86909217317374</c:v>
                </c:pt>
                <c:pt idx="464">
                  <c:v>-75.194887006775303</c:v>
                </c:pt>
                <c:pt idx="465">
                  <c:v>-75.514437168051757</c:v>
                </c:pt>
                <c:pt idx="466">
                  <c:v>-75.827813980819585</c:v>
                </c:pt>
                <c:pt idx="467">
                  <c:v>-76.135091137154546</c:v>
                </c:pt>
                <c:pt idx="468">
                  <c:v>-76.436344448060169</c:v>
                </c:pt>
                <c:pt idx="469">
                  <c:v>-76.731651606341316</c:v>
                </c:pt>
                <c:pt idx="470">
                  <c:v>-77.021091961518422</c:v>
                </c:pt>
                <c:pt idx="471">
                  <c:v>-77.304746306575254</c:v>
                </c:pt>
                <c:pt idx="472">
                  <c:v>-77.582696676295541</c:v>
                </c:pt>
                <c:pt idx="473">
                  <c:v>-77.855026156911251</c:v>
                </c:pt>
                <c:pt idx="474">
                  <c:v>-78.121818706759839</c:v>
                </c:pt>
                <c:pt idx="475">
                  <c:v>-78.383158987623489</c:v>
                </c:pt>
                <c:pt idx="476">
                  <c:v>-78.63913220640957</c:v>
                </c:pt>
                <c:pt idx="477">
                  <c:v>-78.889823966813637</c:v>
                </c:pt>
                <c:pt idx="478">
                  <c:v>-79.135320130600149</c:v>
                </c:pt>
                <c:pt idx="479">
                  <c:v>-79.37570668812792</c:v>
                </c:pt>
                <c:pt idx="480">
                  <c:v>-79.611069637743697</c:v>
                </c:pt>
                <c:pt idx="481">
                  <c:v>-79.841494873664701</c:v>
                </c:pt>
                <c:pt idx="482">
                  <c:v>-80.067068081976501</c:v>
                </c:pt>
                <c:pt idx="483">
                  <c:v>-80.287874644368927</c:v>
                </c:pt>
                <c:pt idx="484">
                  <c:v>-80.503999549243957</c:v>
                </c:pt>
                <c:pt idx="485">
                  <c:v>-80.715527309831785</c:v>
                </c:pt>
                <c:pt idx="486">
                  <c:v>-80.922541888959685</c:v>
                </c:pt>
                <c:pt idx="487">
                  <c:v>-81.125126630127852</c:v>
                </c:pt>
                <c:pt idx="488">
                  <c:v>-81.323364194553577</c:v>
                </c:pt>
                <c:pt idx="489">
                  <c:v>-81.517336503858346</c:v>
                </c:pt>
                <c:pt idx="490">
                  <c:v>-81.707124688078466</c:v>
                </c:pt>
                <c:pt idx="491">
                  <c:v>-81.892809038696029</c:v>
                </c:pt>
                <c:pt idx="492">
                  <c:v>-82.074468966394775</c:v>
                </c:pt>
                <c:pt idx="493">
                  <c:v>-82.25218296325626</c:v>
                </c:pt>
                <c:pt idx="494">
                  <c:v>-82.426028569127368</c:v>
                </c:pt>
                <c:pt idx="495">
                  <c:v>-82.596082341897286</c:v>
                </c:pt>
                <c:pt idx="496">
                  <c:v>-82.762419831435849</c:v>
                </c:pt>
                <c:pt idx="497">
                  <c:v>-82.925115556956698</c:v>
                </c:pt>
                <c:pt idx="498">
                  <c:v>-83.084242987577682</c:v>
                </c:pt>
                <c:pt idx="499">
                  <c:v>-83.239874525865403</c:v>
                </c:pt>
                <c:pt idx="500">
                  <c:v>-83.392081494157978</c:v>
                </c:pt>
                <c:pt idx="501">
                  <c:v>-83.54093412347261</c:v>
                </c:pt>
                <c:pt idx="502">
                  <c:v>-83.686501544814689</c:v>
                </c:pt>
                <c:pt idx="503">
                  <c:v>-83.828851782713755</c:v>
                </c:pt>
                <c:pt idx="504">
                  <c:v>-83.968051750821942</c:v>
                </c:pt>
                <c:pt idx="505">
                  <c:v>-84.104167249420115</c:v>
                </c:pt>
                <c:pt idx="506">
                  <c:v>-84.237262964684291</c:v>
                </c:pt>
                <c:pt idx="507">
                  <c:v>-84.367402469575154</c:v>
                </c:pt>
                <c:pt idx="508">
                  <c:v>-84.494648226219581</c:v>
                </c:pt>
                <c:pt idx="509">
                  <c:v>-84.619061589662877</c:v>
                </c:pt>
                <c:pt idx="510">
                  <c:v>-84.740702812875966</c:v>
                </c:pt>
                <c:pt idx="511">
                  <c:v>-84.859631052910146</c:v>
                </c:pt>
                <c:pt idx="512">
                  <c:v>-84.975904378097781</c:v>
                </c:pt>
                <c:pt idx="513">
                  <c:v>-85.089579776204616</c:v>
                </c:pt>
                <c:pt idx="514">
                  <c:v>-85.200713163444433</c:v>
                </c:pt>
                <c:pt idx="515">
                  <c:v>-85.309359394273088</c:v>
                </c:pt>
                <c:pt idx="516">
                  <c:v>-85.415572271884827</c:v>
                </c:pt>
                <c:pt idx="517">
                  <c:v>-85.519404559337531</c:v>
                </c:pt>
                <c:pt idx="518">
                  <c:v>-85.620907991240088</c:v>
                </c:pt>
                <c:pt idx="519">
                  <c:v>-85.720133285938573</c:v>
                </c:pt>
                <c:pt idx="520">
                  <c:v>-85.81713015814249</c:v>
                </c:pt>
                <c:pt idx="521">
                  <c:v>-85.911947331936929</c:v>
                </c:pt>
                <c:pt idx="522">
                  <c:v>-86.004632554129017</c:v>
                </c:pt>
                <c:pt idx="523">
                  <c:v>-86.095232607883148</c:v>
                </c:pt>
                <c:pt idx="524">
                  <c:v>-86.183793326599812</c:v>
                </c:pt>
                <c:pt idx="525">
                  <c:v>-86.270359607998486</c:v>
                </c:pt>
                <c:pt idx="526">
                  <c:v>-86.354975428366672</c:v>
                </c:pt>
                <c:pt idx="527">
                  <c:v>-86.437683856941291</c:v>
                </c:pt>
                <c:pt idx="528">
                  <c:v>-86.518527070389297</c:v>
                </c:pt>
                <c:pt idx="529">
                  <c:v>-86.597546367359499</c:v>
                </c:pt>
                <c:pt idx="530">
                  <c:v>-86.674782183077198</c:v>
                </c:pt>
                <c:pt idx="531">
                  <c:v>-86.750274103957835</c:v>
                </c:pt>
                <c:pt idx="532">
                  <c:v>-86.824060882215704</c:v>
                </c:pt>
                <c:pt idx="533">
                  <c:v>-86.896180450448128</c:v>
                </c:pt>
                <c:pt idx="534">
                  <c:v>-86.966669936174526</c:v>
                </c:pt>
                <c:pt idx="535">
                  <c:v>-87.035565676313965</c:v>
                </c:pt>
                <c:pt idx="536">
                  <c:v>-87.102903231584662</c:v>
                </c:pt>
                <c:pt idx="537">
                  <c:v>-87.168717400811417</c:v>
                </c:pt>
                <c:pt idx="538">
                  <c:v>-87.233042235127186</c:v>
                </c:pt>
                <c:pt idx="539">
                  <c:v>-87.295911052057932</c:v>
                </c:pt>
                <c:pt idx="540">
                  <c:v>-87.357356449478885</c:v>
                </c:pt>
                <c:pt idx="541">
                  <c:v>-87.417410319433813</c:v>
                </c:pt>
              </c:numCache>
            </c:numRef>
          </c:yVal>
          <c:smooth val="1"/>
          <c:extLst>
            <c:ext xmlns:c16="http://schemas.microsoft.com/office/drawing/2014/chart" uri="{C3380CC4-5D6E-409C-BE32-E72D297353CC}">
              <c16:uniqueId val="{00000001-F7C0-4EEE-87E3-EE720F12A204}"/>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88.304794594743385</c:v>
                </c:pt>
                <c:pt idx="1">
                  <c:v>88.063154523132653</c:v>
                </c:pt>
                <c:pt idx="2">
                  <c:v>87.81997761157406</c:v>
                </c:pt>
                <c:pt idx="3">
                  <c:v>87.575223280713445</c:v>
                </c:pt>
                <c:pt idx="4">
                  <c:v>87.328851064132579</c:v>
                </c:pt>
                <c:pt idx="5">
                  <c:v>87.080820702611192</c:v>
                </c:pt>
                <c:pt idx="6">
                  <c:v>86.831092242490143</c:v>
                </c:pt>
                <c:pt idx="7">
                  <c:v>86.579626137815282</c:v>
                </c:pt>
                <c:pt idx="8">
                  <c:v>86.326383355892361</c:v>
                </c:pt>
                <c:pt idx="9">
                  <c:v>86.071325485827373</c:v>
                </c:pt>
                <c:pt idx="10">
                  <c:v>85.81441484957638</c:v>
                </c:pt>
                <c:pt idx="11">
                  <c:v>85.55561461497831</c:v>
                </c:pt>
                <c:pt idx="12">
                  <c:v>85.294888910193322</c:v>
                </c:pt>
                <c:pt idx="13">
                  <c:v>85.032202938927313</c:v>
                </c:pt>
                <c:pt idx="14">
                  <c:v>84.767523095780149</c:v>
                </c:pt>
                <c:pt idx="15">
                  <c:v>84.500817081019989</c:v>
                </c:pt>
                <c:pt idx="16">
                  <c:v>84.232054014056317</c:v>
                </c:pt>
                <c:pt idx="17">
                  <c:v>83.961204544859299</c:v>
                </c:pt>
                <c:pt idx="18">
                  <c:v>83.68824096256094</c:v>
                </c:pt>
                <c:pt idx="19">
                  <c:v>83.413137300461656</c:v>
                </c:pt>
                <c:pt idx="20">
                  <c:v>83.13586943667211</c:v>
                </c:pt>
                <c:pt idx="21">
                  <c:v>82.856415189624997</c:v>
                </c:pt>
                <c:pt idx="22">
                  <c:v>82.574754407718061</c:v>
                </c:pt>
                <c:pt idx="23">
                  <c:v>82.290869052372372</c:v>
                </c:pt>
                <c:pt idx="24">
                  <c:v>82.004743273835629</c:v>
                </c:pt>
                <c:pt idx="25">
                  <c:v>81.716363479103478</c:v>
                </c:pt>
                <c:pt idx="26">
                  <c:v>81.425718391392138</c:v>
                </c:pt>
                <c:pt idx="27">
                  <c:v>81.132799100660662</c:v>
                </c:pt>
                <c:pt idx="28">
                  <c:v>80.837599104752513</c:v>
                </c:pt>
                <c:pt idx="29">
                  <c:v>80.540114340808472</c:v>
                </c:pt>
                <c:pt idx="30">
                  <c:v>80.240343206683264</c:v>
                </c:pt>
                <c:pt idx="31">
                  <c:v>79.938286572192311</c:v>
                </c:pt>
                <c:pt idx="32">
                  <c:v>79.633947780100897</c:v>
                </c:pt>
                <c:pt idx="33">
                  <c:v>79.327332636866416</c:v>
                </c:pt>
                <c:pt idx="34">
                  <c:v>79.018449393231521</c:v>
                </c:pt>
                <c:pt idx="35">
                  <c:v>78.707308714862933</c:v>
                </c:pt>
                <c:pt idx="36">
                  <c:v>78.393923643313855</c:v>
                </c:pt>
                <c:pt idx="37">
                  <c:v>78.078309547676412</c:v>
                </c:pt>
                <c:pt idx="38">
                  <c:v>77.760484067365496</c:v>
                </c:pt>
                <c:pt idx="39">
                  <c:v>77.440467046551561</c:v>
                </c:pt>
                <c:pt idx="40">
                  <c:v>77.118280460820827</c:v>
                </c:pt>
                <c:pt idx="41">
                  <c:v>76.793948336700169</c:v>
                </c:pt>
                <c:pt idx="42">
                  <c:v>76.467496664731627</c:v>
                </c:pt>
                <c:pt idx="43">
                  <c:v>76.138953306817186</c:v>
                </c:pt>
                <c:pt idx="44">
                  <c:v>75.808347898587144</c:v>
                </c:pt>
                <c:pt idx="45">
                  <c:v>75.475711747561064</c:v>
                </c:pt>
                <c:pt idx="46">
                  <c:v>75.141077727880784</c:v>
                </c:pt>
                <c:pt idx="47">
                  <c:v>74.8044801723982</c:v>
                </c:pt>
                <c:pt idx="48">
                  <c:v>74.465954762886867</c:v>
                </c:pt>
                <c:pt idx="49">
                  <c:v>74.125538419136277</c:v>
                </c:pt>
                <c:pt idx="50">
                  <c:v>73.783269187658419</c:v>
                </c:pt>
                <c:pt idx="51">
                  <c:v>73.4391861307097</c:v>
                </c:pt>
                <c:pt idx="52">
                  <c:v>73.09332921629175</c:v>
                </c:pt>
                <c:pt idx="53">
                  <c:v>72.745739209756479</c:v>
                </c:pt>
                <c:pt idx="54">
                  <c:v>72.396457567592179</c:v>
                </c:pt>
                <c:pt idx="55">
                  <c:v>72.045526333921416</c:v>
                </c:pt>
                <c:pt idx="56">
                  <c:v>71.692988040188723</c:v>
                </c:pt>
                <c:pt idx="57">
                  <c:v>71.338885608465546</c:v>
                </c:pt>
                <c:pt idx="58">
                  <c:v>70.983262258745498</c:v>
                </c:pt>
                <c:pt idx="59">
                  <c:v>70.626161420551796</c:v>
                </c:pt>
                <c:pt idx="60">
                  <c:v>70.26762664912512</c:v>
                </c:pt>
                <c:pt idx="61">
                  <c:v>69.907701546410948</c:v>
                </c:pt>
                <c:pt idx="62">
                  <c:v>69.546429687016655</c:v>
                </c:pt>
                <c:pt idx="63">
                  <c:v>69.183854549261113</c:v>
                </c:pt>
                <c:pt idx="64">
                  <c:v>68.820019451398565</c:v>
                </c:pt>
                <c:pt idx="65">
                  <c:v>68.454967493054042</c:v>
                </c:pt>
                <c:pt idx="66">
                  <c:v>68.088741501875646</c:v>
                </c:pt>
                <c:pt idx="67">
                  <c:v>67.721383985368774</c:v>
                </c:pt>
                <c:pt idx="68">
                  <c:v>67.35293708785224</c:v>
                </c:pt>
                <c:pt idx="69">
                  <c:v>66.983442552445254</c:v>
                </c:pt>
                <c:pt idx="70">
                  <c:v>66.612941687971755</c:v>
                </c:pt>
                <c:pt idx="71">
                  <c:v>66.241475340648933</c:v>
                </c:pt>
                <c:pt idx="72">
                  <c:v>65.869083870406996</c:v>
                </c:pt>
                <c:pt idx="73">
                  <c:v>65.495807131674482</c:v>
                </c:pt>
                <c:pt idx="74">
                  <c:v>65.121684458451654</c:v>
                </c:pt>
                <c:pt idx="75">
                  <c:v>64.746754653484487</c:v>
                </c:pt>
                <c:pt idx="76">
                  <c:v>64.371055981347467</c:v>
                </c:pt>
                <c:pt idx="77">
                  <c:v>63.994626165234791</c:v>
                </c:pt>
                <c:pt idx="78">
                  <c:v>63.617502387262149</c:v>
                </c:pt>
                <c:pt idx="79">
                  <c:v>63.239721292077242</c:v>
                </c:pt>
                <c:pt idx="80">
                  <c:v>62.861318993579332</c:v>
                </c:pt>
                <c:pt idx="81">
                  <c:v>62.482331084549642</c:v>
                </c:pt>
                <c:pt idx="82">
                  <c:v>62.102792648999213</c:v>
                </c:pt>
                <c:pt idx="83">
                  <c:v>61.722738277042467</c:v>
                </c:pt>
                <c:pt idx="84">
                  <c:v>61.342202082114014</c:v>
                </c:pt>
                <c:pt idx="85">
                  <c:v>60.961217720346141</c:v>
                </c:pt>
                <c:pt idx="86">
                  <c:v>60.579818411936124</c:v>
                </c:pt>
                <c:pt idx="87">
                  <c:v>60.198036964335103</c:v>
                </c:pt>
                <c:pt idx="88">
                  <c:v>59.815905797097344</c:v>
                </c:pt>
                <c:pt idx="89">
                  <c:v>59.433456968237344</c:v>
                </c:pt>
                <c:pt idx="90">
                  <c:v>59.050722201944723</c:v>
                </c:pt>
                <c:pt idx="91">
                  <c:v>58.667732917516851</c:v>
                </c:pt>
                <c:pt idx="92">
                  <c:v>58.284520259373458</c:v>
                </c:pt>
                <c:pt idx="93">
                  <c:v>57.901115128020777</c:v>
                </c:pt>
                <c:pt idx="94">
                  <c:v>57.517548211842936</c:v>
                </c:pt>
                <c:pt idx="95">
                  <c:v>57.133850019598349</c:v>
                </c:pt>
                <c:pt idx="96">
                  <c:v>56.750050913504218</c:v>
                </c:pt>
                <c:pt idx="97">
                  <c:v>56.366181142798183</c:v>
                </c:pt>
                <c:pt idx="98">
                  <c:v>55.982270877664611</c:v>
                </c:pt>
                <c:pt idx="99">
                  <c:v>55.598350243419759</c:v>
                </c:pt>
                <c:pt idx="100">
                  <c:v>55.214449354848725</c:v>
                </c:pt>
                <c:pt idx="101">
                  <c:v>54.830598350588851</c:v>
                </c:pt>
                <c:pt idx="102">
                  <c:v>54.446827427455702</c:v>
                </c:pt>
                <c:pt idx="103">
                  <c:v>54.063166874604576</c:v>
                </c:pt>
                <c:pt idx="104">
                  <c:v>53.679647107423357</c:v>
                </c:pt>
                <c:pt idx="105">
                  <c:v>53.296298701046467</c:v>
                </c:pt>
                <c:pt idx="106">
                  <c:v>52.913152423380907</c:v>
                </c:pt>
                <c:pt idx="107">
                  <c:v>52.530239267529673</c:v>
                </c:pt>
                <c:pt idx="108">
                  <c:v>52.147590483497353</c:v>
                </c:pt>
                <c:pt idx="109">
                  <c:v>51.765237609052875</c:v>
                </c:pt>
                <c:pt idx="110">
                  <c:v>51.383212499627632</c:v>
                </c:pt>
                <c:pt idx="111">
                  <c:v>51.001547357114688</c:v>
                </c:pt>
                <c:pt idx="112">
                  <c:v>50.620274757433528</c:v>
                </c:pt>
                <c:pt idx="113">
                  <c:v>50.239427676717099</c:v>
                </c:pt>
                <c:pt idx="114">
                  <c:v>49.859039515972931</c:v>
                </c:pt>
                <c:pt idx="115">
                  <c:v>49.47914412406098</c:v>
                </c:pt>
                <c:pt idx="116">
                  <c:v>49.099775818830132</c:v>
                </c:pt>
                <c:pt idx="117">
                  <c:v>48.720969406240897</c:v>
                </c:pt>
                <c:pt idx="118">
                  <c:v>48.342760197303505</c:v>
                </c:pt>
                <c:pt idx="119">
                  <c:v>47.965184022648835</c:v>
                </c:pt>
                <c:pt idx="120">
                  <c:v>47.58827724454796</c:v>
                </c:pt>
                <c:pt idx="121">
                  <c:v>47.212076766188389</c:v>
                </c:pt>
                <c:pt idx="122">
                  <c:v>46.836620038013606</c:v>
                </c:pt>
                <c:pt idx="123">
                  <c:v>46.461945060927491</c:v>
                </c:pt>
                <c:pt idx="124">
                  <c:v>46.088090386163998</c:v>
                </c:pt>
                <c:pt idx="125">
                  <c:v>45.715095111622702</c:v>
                </c:pt>
                <c:pt idx="126">
                  <c:v>45.342998874469544</c:v>
                </c:pt>
                <c:pt idx="127">
                  <c:v>44.971841839808249</c:v>
                </c:pt>
                <c:pt idx="128">
                  <c:v>44.601664685230986</c:v>
                </c:pt>
                <c:pt idx="129">
                  <c:v>44.232508581062035</c:v>
                </c:pt>
                <c:pt idx="130">
                  <c:v>43.864415166122981</c:v>
                </c:pt>
                <c:pt idx="131">
                  <c:v>43.497426518854965</c:v>
                </c:pt>
                <c:pt idx="132">
                  <c:v>43.13158512365149</c:v>
                </c:pt>
                <c:pt idx="133">
                  <c:v>42.76693383227397</c:v>
                </c:pt>
                <c:pt idx="134">
                  <c:v>42.403515820240266</c:v>
                </c:pt>
                <c:pt idx="135">
                  <c:v>42.041374538106552</c:v>
                </c:pt>
                <c:pt idx="136">
                  <c:v>41.680553657585044</c:v>
                </c:pt>
                <c:pt idx="137">
                  <c:v>41.321097012474617</c:v>
                </c:pt>
                <c:pt idx="138">
                  <c:v>40.963048534418967</c:v>
                </c:pt>
                <c:pt idx="139">
                  <c:v>40.606452183537449</c:v>
                </c:pt>
                <c:pt idx="140">
                  <c:v>40.25135187402369</c:v>
                </c:pt>
                <c:pt idx="141">
                  <c:v>39.897791394844134</c:v>
                </c:pt>
                <c:pt idx="142">
                  <c:v>39.545814325722134</c:v>
                </c:pt>
                <c:pt idx="143">
                  <c:v>39.195463948635222</c:v>
                </c:pt>
                <c:pt idx="144">
                  <c:v>38.846783155110501</c:v>
                </c:pt>
                <c:pt idx="145">
                  <c:v>38.499814349652425</c:v>
                </c:pt>
                <c:pt idx="146">
                  <c:v>38.154599349688816</c:v>
                </c:pt>
                <c:pt idx="147">
                  <c:v>37.81117928247707</c:v>
                </c:pt>
                <c:pt idx="148">
                  <c:v>37.469594479463268</c:v>
                </c:pt>
                <c:pt idx="149">
                  <c:v>37.129884368634912</c:v>
                </c:pt>
                <c:pt idx="150">
                  <c:v>36.792087365460311</c:v>
                </c:pt>
                <c:pt idx="151">
                  <c:v>36.456240763049991</c:v>
                </c:pt>
                <c:pt idx="152">
                  <c:v>36.122380622215339</c:v>
                </c:pt>
                <c:pt idx="153">
                  <c:v>35.790541662135837</c:v>
                </c:pt>
                <c:pt idx="154">
                  <c:v>35.460757152376708</c:v>
                </c:pt>
                <c:pt idx="155">
                  <c:v>35.133058807018742</c:v>
                </c:pt>
                <c:pt idx="156">
                  <c:v>34.807476681678153</c:v>
                </c:pt>
                <c:pt idx="157">
                  <c:v>34.484039074200702</c:v>
                </c:pt>
                <c:pt idx="158">
                  <c:v>34.162772429812563</c:v>
                </c:pt>
                <c:pt idx="159">
                  <c:v>33.843701251496363</c:v>
                </c:pt>
                <c:pt idx="160">
                  <c:v>33.526848016343877</c:v>
                </c:pt>
                <c:pt idx="161">
                  <c:v>33.212233098601295</c:v>
                </c:pt>
                <c:pt idx="162">
                  <c:v>32.899874700086713</c:v>
                </c:pt>
                <c:pt idx="163">
                  <c:v>32.589788788608146</c:v>
                </c:pt>
                <c:pt idx="164">
                  <c:v>32.28198904495229</c:v>
                </c:pt>
                <c:pt idx="165">
                  <c:v>31.976486818948384</c:v>
                </c:pt>
                <c:pt idx="166">
                  <c:v>31.67329109503768</c:v>
                </c:pt>
                <c:pt idx="167">
                  <c:v>31.372408467699383</c:v>
                </c:pt>
                <c:pt idx="168">
                  <c:v>31.073843126998174</c:v>
                </c:pt>
                <c:pt idx="169">
                  <c:v>30.77759685443047</c:v>
                </c:pt>
                <c:pt idx="170">
                  <c:v>30.483669029153937</c:v>
                </c:pt>
                <c:pt idx="171">
                  <c:v>30.192056644592995</c:v>
                </c:pt>
                <c:pt idx="172">
                  <c:v>29.902754335319997</c:v>
                </c:pt>
                <c:pt idx="173">
                  <c:v>29.615754414021069</c:v>
                </c:pt>
                <c:pt idx="174">
                  <c:v>29.331046918267461</c:v>
                </c:pt>
                <c:pt idx="175">
                  <c:v>29.048619666730389</c:v>
                </c:pt>
                <c:pt idx="176">
                  <c:v>28.76845832440042</c:v>
                </c:pt>
                <c:pt idx="177">
                  <c:v>28.49054647629799</c:v>
                </c:pt>
                <c:pt idx="178">
                  <c:v>28.214865709102245</c:v>
                </c:pt>
                <c:pt idx="179">
                  <c:v>27.94139570006665</c:v>
                </c:pt>
                <c:pt idx="180">
                  <c:v>27.67011431254684</c:v>
                </c:pt>
                <c:pt idx="181">
                  <c:v>27.400997697425634</c:v>
                </c:pt>
                <c:pt idx="182">
                  <c:v>27.134020399695334</c:v>
                </c:pt>
                <c:pt idx="183">
                  <c:v>26.869155469439075</c:v>
                </c:pt>
                <c:pt idx="184">
                  <c:v>26.606374576444836</c:v>
                </c:pt>
                <c:pt idx="185">
                  <c:v>26.34564812768399</c:v>
                </c:pt>
                <c:pt idx="186">
                  <c:v>26.086945386900929</c:v>
                </c:pt>
                <c:pt idx="187">
                  <c:v>25.830234595572151</c:v>
                </c:pt>
                <c:pt idx="188">
                  <c:v>25.575483094521175</c:v>
                </c:pt>
                <c:pt idx="189">
                  <c:v>25.322657445507058</c:v>
                </c:pt>
                <c:pt idx="190">
                  <c:v>25.071723552139787</c:v>
                </c:pt>
                <c:pt idx="191">
                  <c:v>24.822646779519527</c:v>
                </c:pt>
                <c:pt idx="192">
                  <c:v>24.575392072041026</c:v>
                </c:pt>
                <c:pt idx="193">
                  <c:v>24.329924068855004</c:v>
                </c:pt>
                <c:pt idx="194">
                  <c:v>24.086207216527974</c:v>
                </c:pt>
                <c:pt idx="195">
                  <c:v>23.844205878494641</c:v>
                </c:pt>
                <c:pt idx="196">
                  <c:v>23.603884440950349</c:v>
                </c:pt>
                <c:pt idx="197">
                  <c:v>23.365207414883024</c:v>
                </c:pt>
                <c:pt idx="198">
                  <c:v>23.128139533995508</c:v>
                </c:pt>
                <c:pt idx="199">
                  <c:v>22.892645848319315</c:v>
                </c:pt>
                <c:pt idx="200">
                  <c:v>22.658691813368776</c:v>
                </c:pt>
                <c:pt idx="201">
                  <c:v>22.426243374730454</c:v>
                </c:pt>
                <c:pt idx="202">
                  <c:v>22.19526704802437</c:v>
                </c:pt>
                <c:pt idx="203">
                  <c:v>21.965729994213344</c:v>
                </c:pt>
                <c:pt idx="204">
                  <c:v>21.737600090274476</c:v>
                </c:pt>
                <c:pt idx="205">
                  <c:v>21.510845995275176</c:v>
                </c:pt>
                <c:pt idx="206">
                  <c:v>21.285437211931541</c:v>
                </c:pt>
                <c:pt idx="207">
                  <c:v>21.061344143746009</c:v>
                </c:pt>
                <c:pt idx="208">
                  <c:v>20.838538147848308</c:v>
                </c:pt>
                <c:pt idx="209">
                  <c:v>20.616991583678242</c:v>
                </c:pt>
                <c:pt idx="210">
                  <c:v>20.396677857666674</c:v>
                </c:pt>
                <c:pt idx="211">
                  <c:v>20.1775714640833</c:v>
                </c:pt>
                <c:pt idx="212">
                  <c:v>19.959648022225092</c:v>
                </c:pt>
                <c:pt idx="213">
                  <c:v>19.742884310129444</c:v>
                </c:pt>
                <c:pt idx="214">
                  <c:v>19.527258294997985</c:v>
                </c:pt>
                <c:pt idx="215">
                  <c:v>19.312749160515985</c:v>
                </c:pt>
                <c:pt idx="216">
                  <c:v>19.099337331254482</c:v>
                </c:pt>
                <c:pt idx="217">
                  <c:v>18.88700449433448</c:v>
                </c:pt>
                <c:pt idx="218">
                  <c:v>18.675733618531332</c:v>
                </c:pt>
                <c:pt idx="219">
                  <c:v>18.465508970986811</c:v>
                </c:pt>
                <c:pt idx="220">
                  <c:v>18.256316131689921</c:v>
                </c:pt>
                <c:pt idx="221">
                  <c:v>18.048142005876862</c:v>
                </c:pt>
                <c:pt idx="222">
                  <c:v>17.84097483448846</c:v>
                </c:pt>
                <c:pt idx="223">
                  <c:v>17.634804202812738</c:v>
                </c:pt>
                <c:pt idx="224">
                  <c:v>17.429621047426611</c:v>
                </c:pt>
                <c:pt idx="225">
                  <c:v>17.225417661535026</c:v>
                </c:pt>
                <c:pt idx="226">
                  <c:v>17.022187698795424</c:v>
                </c:pt>
                <c:pt idx="227">
                  <c:v>16.81992617569551</c:v>
                </c:pt>
                <c:pt idx="228">
                  <c:v>16.618629472540857</c:v>
                </c:pt>
                <c:pt idx="229">
                  <c:v>16.418295333090182</c:v>
                </c:pt>
                <c:pt idx="230">
                  <c:v>16.218922862863089</c:v>
                </c:pt>
                <c:pt idx="231">
                  <c:v>16.020512526125007</c:v>
                </c:pt>
                <c:pt idx="232">
                  <c:v>15.823066141541256</c:v>
                </c:pt>
                <c:pt idx="233">
                  <c:v>15.626586876475677</c:v>
                </c:pt>
                <c:pt idx="234">
                  <c:v>15.43107923988924</c:v>
                </c:pt>
                <c:pt idx="235">
                  <c:v>15.236549073784897</c:v>
                </c:pt>
                <c:pt idx="236">
                  <c:v>15.043003543122058</c:v>
                </c:pt>
                <c:pt idx="237">
                  <c:v>14.850451124114301</c:v>
                </c:pt>
                <c:pt idx="238">
                  <c:v>14.65890159080725</c:v>
                </c:pt>
                <c:pt idx="239">
                  <c:v>14.46836599981761</c:v>
                </c:pt>
                <c:pt idx="240">
                  <c:v>14.278856673105217</c:v>
                </c:pt>
                <c:pt idx="241">
                  <c:v>14.090387178631495</c:v>
                </c:pt>
                <c:pt idx="242">
                  <c:v>13.902972308752958</c:v>
                </c:pt>
                <c:pt idx="243">
                  <c:v>13.716628056180744</c:v>
                </c:pt>
                <c:pt idx="244">
                  <c:v>13.531371587333975</c:v>
                </c:pt>
                <c:pt idx="245">
                  <c:v>13.347221212903236</c:v>
                </c:pt>
                <c:pt idx="246">
                  <c:v>13.164196355435935</c:v>
                </c:pt>
                <c:pt idx="247">
                  <c:v>12.982317513749809</c:v>
                </c:pt>
                <c:pt idx="248">
                  <c:v>12.801606223980809</c:v>
                </c:pt>
                <c:pt idx="249">
                  <c:v>12.622085017068514</c:v>
                </c:pt>
                <c:pt idx="250">
                  <c:v>12.443777372487014</c:v>
                </c:pt>
                <c:pt idx="251">
                  <c:v>12.266707668033154</c:v>
                </c:pt>
                <c:pt idx="252">
                  <c:v>12.090901125491706</c:v>
                </c:pt>
                <c:pt idx="253">
                  <c:v>11.916383752007924</c:v>
                </c:pt>
                <c:pt idx="254">
                  <c:v>11.743182277013508</c:v>
                </c:pt>
                <c:pt idx="255">
                  <c:v>11.571324084565795</c:v>
                </c:pt>
                <c:pt idx="256">
                  <c:v>11.400837140984873</c:v>
                </c:pt>
                <c:pt idx="257">
                  <c:v>11.231749917694966</c:v>
                </c:pt>
                <c:pt idx="258">
                  <c:v>11.064091309205327</c:v>
                </c:pt>
                <c:pt idx="259">
                  <c:v>10.897890546197065</c:v>
                </c:pt>
                <c:pt idx="260">
                  <c:v>10.733177103719294</c:v>
                </c:pt>
                <c:pt idx="261">
                  <c:v>10.569980604532523</c:v>
                </c:pt>
                <c:pt idx="262">
                  <c:v>10.408330717684965</c:v>
                </c:pt>
                <c:pt idx="263">
                  <c:v>10.248257052447162</c:v>
                </c:pt>
                <c:pt idx="264">
                  <c:v>10.08978904778049</c:v>
                </c:pt>
                <c:pt idx="265">
                  <c:v>9.9329558575661068</c:v>
                </c:pt>
                <c:pt idx="266">
                  <c:v>9.7777862318705253</c:v>
                </c:pt>
                <c:pt idx="267">
                  <c:v>9.6243083945792325</c:v>
                </c:pt>
                <c:pt idx="268">
                  <c:v>9.4725499177828016</c:v>
                </c:pt>
                <c:pt idx="269">
                  <c:v>9.3225375933542871</c:v>
                </c:pt>
                <c:pt idx="270">
                  <c:v>9.1742973022089025</c:v>
                </c:pt>
                <c:pt idx="271">
                  <c:v>9.027853881791696</c:v>
                </c:pt>
                <c:pt idx="272">
                  <c:v>8.8832309923829751</c:v>
                </c:pt>
                <c:pt idx="273">
                  <c:v>8.7404509828617272</c:v>
                </c:pt>
                <c:pt idx="274">
                  <c:v>8.5995347566059337</c:v>
                </c:pt>
                <c:pt idx="275">
                  <c:v>8.4605016382462814</c:v>
                </c:pt>
                <c:pt idx="276">
                  <c:v>8.3233692420206058</c:v>
                </c:pt>
                <c:pt idx="277">
                  <c:v>8.1881533424970314</c:v>
                </c:pt>
                <c:pt idx="278">
                  <c:v>8.0548677484543667</c:v>
                </c:pt>
                <c:pt idx="279">
                  <c:v>7.9235241807119214</c:v>
                </c:pt>
                <c:pt idx="280">
                  <c:v>7.7941321547032949</c:v>
                </c:pt>
                <c:pt idx="281">
                  <c:v>7.666698868576419</c:v>
                </c:pt>
                <c:pt idx="282">
                  <c:v>7.5412290975847709</c:v>
                </c:pt>
                <c:pt idx="283">
                  <c:v>7.4177250955056326</c:v>
                </c:pt>
                <c:pt idx="284">
                  <c:v>7.2961865037843605</c:v>
                </c:pt>
                <c:pt idx="285">
                  <c:v>7.1766102690556348</c:v>
                </c:pt>
                <c:pt idx="286">
                  <c:v>7.05899056964157</c:v>
                </c:pt>
                <c:pt idx="287">
                  <c:v>6.9433187515608292</c:v>
                </c:pt>
                <c:pt idx="288">
                  <c:v>6.8295832745151728</c:v>
                </c:pt>
                <c:pt idx="289">
                  <c:v>6.7177696682486152</c:v>
                </c:pt>
                <c:pt idx="290">
                  <c:v>6.6078604995884271</c:v>
                </c:pt>
                <c:pt idx="291">
                  <c:v>6.4998353504029991</c:v>
                </c:pt>
                <c:pt idx="292">
                  <c:v>6.3936708066203511</c:v>
                </c:pt>
                <c:pt idx="293">
                  <c:v>6.2893404583710533</c:v>
                </c:pt>
                <c:pt idx="294">
                  <c:v>6.1868149112325286</c:v>
                </c:pt>
                <c:pt idx="295">
                  <c:v>6.0860618084713849</c:v>
                </c:pt>
                <c:pt idx="296">
                  <c:v>5.9870458641022246</c:v>
                </c:pt>
                <c:pt idx="297">
                  <c:v>5.8897289065066394</c:v>
                </c:pt>
                <c:pt idx="298">
                  <c:v>5.7940699322901468</c:v>
                </c:pt>
                <c:pt idx="299">
                  <c:v>5.7000251699939453</c:v>
                </c:pt>
                <c:pt idx="300">
                  <c:v>5.6075481532232399</c:v>
                </c:pt>
                <c:pt idx="301">
                  <c:v>5.5165898027133711</c:v>
                </c:pt>
                <c:pt idx="302">
                  <c:v>5.4270985168142341</c:v>
                </c:pt>
                <c:pt idx="303">
                  <c:v>5.3390202698498337</c:v>
                </c:pt>
                <c:pt idx="304">
                  <c:v>5.2522987177911604</c:v>
                </c:pt>
                <c:pt idx="305">
                  <c:v>5.1668753106687078</c:v>
                </c:pt>
                <c:pt idx="306">
                  <c:v>5.0826894111550427</c:v>
                </c:pt>
                <c:pt idx="307">
                  <c:v>4.999678418749955</c:v>
                </c:pt>
                <c:pt idx="308">
                  <c:v>4.9177778990180911</c:v>
                </c:pt>
                <c:pt idx="309">
                  <c:v>4.8369217173483268</c:v>
                </c:pt>
                <c:pt idx="310">
                  <c:v>4.757042176732023</c:v>
                </c:pt>
                <c:pt idx="311">
                  <c:v>4.6780701590855669</c:v>
                </c:pt>
                <c:pt idx="312">
                  <c:v>4.5999352696785216</c:v>
                </c:pt>
                <c:pt idx="313">
                  <c:v>4.5225659842644719</c:v>
                </c:pt>
                <c:pt idx="314">
                  <c:v>4.4458897985497847</c:v>
                </c:pt>
                <c:pt idx="315">
                  <c:v>4.3698333796707258</c:v>
                </c:pt>
                <c:pt idx="316">
                  <c:v>4.2943227193905367</c:v>
                </c:pt>
                <c:pt idx="317">
                  <c:v>4.219283288756408</c:v>
                </c:pt>
                <c:pt idx="318">
                  <c:v>4.1446401939939923</c:v>
                </c:pt>
                <c:pt idx="319">
                  <c:v>4.0703183334401274</c:v>
                </c:pt>
                <c:pt idx="320">
                  <c:v>3.9962425553407233</c:v>
                </c:pt>
                <c:pt idx="321">
                  <c:v>3.9223378163568783</c:v>
                </c:pt>
                <c:pt idx="322">
                  <c:v>3.8485293406360164</c:v>
                </c:pt>
                <c:pt idx="323">
                  <c:v>3.7747427793112589</c:v>
                </c:pt>
                <c:pt idx="324">
                  <c:v>3.7009043702917026</c:v>
                </c:pt>
                <c:pt idx="325">
                  <c:v>3.6269410982024879</c:v>
                </c:pt>
                <c:pt idx="326">
                  <c:v>3.5527808543195158</c:v>
                </c:pt>
                <c:pt idx="327">
                  <c:v>3.4783525963280453</c:v>
                </c:pt>
                <c:pt idx="328">
                  <c:v>3.4035865077107847</c:v>
                </c:pt>
                <c:pt idx="329">
                  <c:v>3.3284141565426406</c:v>
                </c:pt>
                <c:pt idx="330">
                  <c:v>3.2527686534386646</c:v>
                </c:pt>
                <c:pt idx="331">
                  <c:v>3.1765848083647925</c:v>
                </c:pt>
                <c:pt idx="332">
                  <c:v>3.0997992859845076</c:v>
                </c:pt>
                <c:pt idx="333">
                  <c:v>3.0223507591735532</c:v>
                </c:pt>
                <c:pt idx="334">
                  <c:v>2.9441800602952908</c:v>
                </c:pt>
                <c:pt idx="335">
                  <c:v>2.8652303297909532</c:v>
                </c:pt>
                <c:pt idx="336">
                  <c:v>2.785447161596895</c:v>
                </c:pt>
                <c:pt idx="337">
                  <c:v>2.7047787448713527</c:v>
                </c:pt>
                <c:pt idx="338">
                  <c:v>2.6231760014772005</c:v>
                </c:pt>
                <c:pt idx="339">
                  <c:v>2.5405927186412502</c:v>
                </c:pt>
                <c:pt idx="340">
                  <c:v>2.4569856761922453</c:v>
                </c:pt>
                <c:pt idx="341">
                  <c:v>2.3723147677608587</c:v>
                </c:pt>
                <c:pt idx="342">
                  <c:v>2.2865431153230329</c:v>
                </c:pt>
                <c:pt idx="343">
                  <c:v>2.1996371764646354</c:v>
                </c:pt>
                <c:pt idx="344">
                  <c:v>2.1115668437560422</c:v>
                </c:pt>
                <c:pt idx="345">
                  <c:v>2.0223055356463244</c:v>
                </c:pt>
                <c:pt idx="346">
                  <c:v>1.9318302783061303</c:v>
                </c:pt>
                <c:pt idx="347">
                  <c:v>1.8401217778909704</c:v>
                </c:pt>
                <c:pt idx="348">
                  <c:v>1.7471644827356343</c:v>
                </c:pt>
                <c:pt idx="349">
                  <c:v>1.6529466350410402</c:v>
                </c:pt>
                <c:pt idx="350">
                  <c:v>1.5574603116751629</c:v>
                </c:pt>
                <c:pt idx="351">
                  <c:v>1.4607014537710492</c:v>
                </c:pt>
                <c:pt idx="352">
                  <c:v>1.3626698848749486</c:v>
                </c:pt>
                <c:pt idx="353">
                  <c:v>1.2633693174700906</c:v>
                </c:pt>
                <c:pt idx="354">
                  <c:v>1.1628073477771719</c:v>
                </c:pt>
                <c:pt idx="355">
                  <c:v>1.060995438807814</c:v>
                </c:pt>
                <c:pt idx="356">
                  <c:v>0.95794889172572384</c:v>
                </c:pt>
                <c:pt idx="357">
                  <c:v>0.85368680564514587</c:v>
                </c:pt>
                <c:pt idx="358">
                  <c:v>0.74823202606689487</c:v>
                </c:pt>
                <c:pt idx="359">
                  <c:v>0.6416110822242006</c:v>
                </c:pt>
                <c:pt idx="360">
                  <c:v>0.53385411367178237</c:v>
                </c:pt>
                <c:pt idx="361">
                  <c:v>0.42499478651153244</c:v>
                </c:pt>
                <c:pt idx="362">
                  <c:v>0.31507019969938016</c:v>
                </c:pt>
                <c:pt idx="363">
                  <c:v>0.20412078191942737</c:v>
                </c:pt>
                <c:pt idx="364">
                  <c:v>9.2190179554258192E-2</c:v>
                </c:pt>
                <c:pt idx="365">
                  <c:v>-2.0674863699222126E-2</c:v>
                </c:pt>
                <c:pt idx="366">
                  <c:v>-0.13442463499200721</c:v>
                </c:pt>
                <c:pt idx="367">
                  <c:v>-0.24900658767576478</c:v>
                </c:pt>
                <c:pt idx="368">
                  <c:v>-0.36436548325589846</c:v>
                </c:pt>
                <c:pt idx="369">
                  <c:v>-0.48044353935201567</c:v>
                </c:pt>
                <c:pt idx="370">
                  <c:v>-0.59718058308316735</c:v>
                </c:pt>
                <c:pt idx="371">
                  <c:v>-0.71451420930912402</c:v>
                </c:pt>
                <c:pt idx="372">
                  <c:v>-0.83237994317399422</c:v>
                </c:pt>
                <c:pt idx="373">
                  <c:v>-0.95071140642314078</c:v>
                </c:pt>
                <c:pt idx="374">
                  <c:v>-1.0694404869858727</c:v>
                </c:pt>
                <c:pt idx="375">
                  <c:v>-1.188497511344758</c:v>
                </c:pt>
                <c:pt idx="376">
                  <c:v>-1.3078114192352375</c:v>
                </c:pt>
                <c:pt idx="377">
                  <c:v>-1.427309940247742</c:v>
                </c:pt>
                <c:pt idx="378">
                  <c:v>-1.5469197719280323</c:v>
                </c:pt>
                <c:pt idx="379">
                  <c:v>-1.6665667589926179</c:v>
                </c:pt>
                <c:pt idx="380">
                  <c:v>-1.7861760732956884</c:v>
                </c:pt>
                <c:pt idx="381">
                  <c:v>-1.9056723942006173</c:v>
                </c:pt>
                <c:pt idx="382">
                  <c:v>-2.0249800890176055</c:v>
                </c:pt>
                <c:pt idx="383">
                  <c:v>-2.1440233931783288</c:v>
                </c:pt>
                <c:pt idx="384">
                  <c:v>-2.2627265898187816</c:v>
                </c:pt>
                <c:pt idx="385">
                  <c:v>-2.381014188439543</c:v>
                </c:pt>
                <c:pt idx="386">
                  <c:v>-2.4988111023051212</c:v>
                </c:pt>
                <c:pt idx="387">
                  <c:v>-2.6160428242324976</c:v>
                </c:pt>
                <c:pt idx="388">
                  <c:v>-2.7326356004020145</c:v>
                </c:pt>
                <c:pt idx="389">
                  <c:v>-2.8485166018079227</c:v>
                </c:pt>
                <c:pt idx="390">
                  <c:v>-2.9636140929408934</c:v>
                </c:pt>
                <c:pt idx="391">
                  <c:v>-3.077857597272629</c:v>
                </c:pt>
                <c:pt idx="392">
                  <c:v>-3.1911780590907268</c:v>
                </c:pt>
                <c:pt idx="393">
                  <c:v>-3.3035080012036704</c:v>
                </c:pt>
                <c:pt idx="394">
                  <c:v>-3.4147816780154923</c:v>
                </c:pt>
                <c:pt idx="395">
                  <c:v>-3.524935223448225</c:v>
                </c:pt>
                <c:pt idx="396">
                  <c:v>-3.6339067931738271</c:v>
                </c:pt>
                <c:pt idx="397">
                  <c:v>-3.7416367005996349</c:v>
                </c:pt>
                <c:pt idx="398">
                  <c:v>-3.8480675460498706</c:v>
                </c:pt>
                <c:pt idx="399">
                  <c:v>-3.953144338576406</c:v>
                </c:pt>
                <c:pt idx="400">
                  <c:v>-4.0568146098438653</c:v>
                </c:pt>
                <c:pt idx="401">
                  <c:v>-4.1590285195394232</c:v>
                </c:pt>
                <c:pt idx="402">
                  <c:v>-4.2597389517838558</c:v>
                </c:pt>
                <c:pt idx="403">
                  <c:v>-4.3589016020450639</c:v>
                </c:pt>
                <c:pt idx="404">
                  <c:v>-4.4564750540913973</c:v>
                </c:pt>
                <c:pt idx="405">
                  <c:v>-4.55242084657145</c:v>
                </c:pt>
                <c:pt idx="406">
                  <c:v>-4.6467035288527594</c:v>
                </c:pt>
                <c:pt idx="407">
                  <c:v>-4.7392907058183322</c:v>
                </c:pt>
                <c:pt idx="408">
                  <c:v>-4.8301530713812753</c:v>
                </c:pt>
                <c:pt idx="409">
                  <c:v>-4.9192644305550024</c:v>
                </c:pt>
                <c:pt idx="410">
                  <c:v>-5.0066017099887326</c:v>
                </c:pt>
                <c:pt idx="411">
                  <c:v>-5.0921449569618993</c:v>
                </c:pt>
                <c:pt idx="412">
                  <c:v>-5.1758773269156411</c:v>
                </c:pt>
                <c:pt idx="413">
                  <c:v>-5.2577850596780582</c:v>
                </c:pt>
                <c:pt idx="414">
                  <c:v>-5.3378574446293623</c:v>
                </c:pt>
                <c:pt idx="415">
                  <c:v>-5.4160867751346604</c:v>
                </c:pt>
                <c:pt idx="416">
                  <c:v>-5.4924682926464605</c:v>
                </c:pt>
                <c:pt idx="417">
                  <c:v>-5.5670001209605866</c:v>
                </c:pt>
                <c:pt idx="418">
                  <c:v>-5.6396831911745684</c:v>
                </c:pt>
                <c:pt idx="419">
                  <c:v>-5.7105211579609918</c:v>
                </c:pt>
                <c:pt idx="420">
                  <c:v>-5.7795203078267656</c:v>
                </c:pt>
                <c:pt idx="421">
                  <c:v>-5.8466894600725761</c:v>
                </c:pt>
                <c:pt idx="422">
                  <c:v>-5.9120398612115466</c:v>
                </c:pt>
                <c:pt idx="423">
                  <c:v>-5.9755850736282889</c:v>
                </c:pt>
                <c:pt idx="424">
                  <c:v>-6.0373408592897837</c:v>
                </c:pt>
                <c:pt idx="425">
                  <c:v>-6.0973250593225456</c:v>
                </c:pt>
                <c:pt idx="426">
                  <c:v>-6.1555574702773068</c:v>
                </c:pt>
                <c:pt idx="427">
                  <c:v>-6.2120597178965129</c:v>
                </c:pt>
                <c:pt idx="428">
                  <c:v>-6.2668551291827876</c:v>
                </c:pt>
                <c:pt idx="429">
                  <c:v>-6.3199686035452203</c:v>
                </c:pt>
                <c:pt idx="430">
                  <c:v>-6.3714264837735071</c:v>
                </c:pt>
                <c:pt idx="431">
                  <c:v>-6.4212564275484452</c:v>
                </c:pt>
                <c:pt idx="432">
                  <c:v>-6.4694872801646275</c:v>
                </c:pt>
                <c:pt idx="433">
                  <c:v>-6.5161489490862756</c:v>
                </c:pt>
                <c:pt idx="434">
                  <c:v>-6.5612722809173762</c:v>
                </c:pt>
                <c:pt idx="435">
                  <c:v>-6.6048889413070793</c:v>
                </c:pt>
                <c:pt idx="436">
                  <c:v>-6.6470312982647828</c:v>
                </c:pt>
                <c:pt idx="437">
                  <c:v>-6.687732309299661</c:v>
                </c:pt>
                <c:pt idx="438">
                  <c:v>-6.7270254127459728</c:v>
                </c:pt>
                <c:pt idx="439">
                  <c:v>-6.7649444235821301</c:v>
                </c:pt>
                <c:pt idx="440">
                  <c:v>-6.801523433996282</c:v>
                </c:pt>
                <c:pt idx="441">
                  <c:v>-6.8367967189013488</c:v>
                </c:pt>
                <c:pt idx="442">
                  <c:v>-6.8707986465498774</c:v>
                </c:pt>
                <c:pt idx="443">
                  <c:v>-6.9035635943568661</c:v>
                </c:pt>
                <c:pt idx="444">
                  <c:v>-6.9351258699890552</c:v>
                </c:pt>
                <c:pt idx="445">
                  <c:v>-6.9655196377429798</c:v>
                </c:pt>
                <c:pt idx="446">
                  <c:v>-6.9947788501944572</c:v>
                </c:pt>
                <c:pt idx="447">
                  <c:v>-7.0229371850672786</c:v>
                </c:pt>
                <c:pt idx="448">
                  <c:v>-7.0500279872406892</c:v>
                </c:pt>
                <c:pt idx="449">
                  <c:v>-7.0760842157862669</c:v>
                </c:pt>
                <c:pt idx="450">
                  <c:v>-7.1011383959014882</c:v>
                </c:pt>
                <c:pt idx="451">
                  <c:v>-7.1252225755885155</c:v>
                </c:pt>
                <c:pt idx="452">
                  <c:v>-7.1483682869067682</c:v>
                </c:pt>
                <c:pt idx="453">
                  <c:v>-7.1706065116181659</c:v>
                </c:pt>
                <c:pt idx="454">
                  <c:v>-7.1919676510279906</c:v>
                </c:pt>
                <c:pt idx="455">
                  <c:v>-7.2124814998197611</c:v>
                </c:pt>
                <c:pt idx="456">
                  <c:v>-7.2321772236753015</c:v>
                </c:pt>
                <c:pt idx="457">
                  <c:v>-7.2510833404668853</c:v>
                </c:pt>
                <c:pt idx="458">
                  <c:v>-7.269227704807192</c:v>
                </c:pt>
                <c:pt idx="459">
                  <c:v>-7.2866374957445164</c:v>
                </c:pt>
                <c:pt idx="460">
                  <c:v>-7.3033392073900183</c:v>
                </c:pt>
                <c:pt idx="461">
                  <c:v>-7.3193586422679093</c:v>
                </c:pt>
                <c:pt idx="462">
                  <c:v>-7.33472090718573</c:v>
                </c:pt>
                <c:pt idx="463">
                  <c:v>-7.3494504114253143</c:v>
                </c:pt>
                <c:pt idx="464">
                  <c:v>-7.3635708670614548</c:v>
                </c:pt>
                <c:pt idx="465">
                  <c:v>-7.3771052912232289</c:v>
                </c:pt>
                <c:pt idx="466">
                  <c:v>-7.3900760101215504</c:v>
                </c:pt>
                <c:pt idx="467">
                  <c:v>-7.4025046646706301</c:v>
                </c:pt>
                <c:pt idx="468">
                  <c:v>-7.4144122175444185</c:v>
                </c:pt>
                <c:pt idx="469">
                  <c:v>-7.4258189615137766</c:v>
                </c:pt>
                <c:pt idx="470">
                  <c:v>-7.4367445289210368</c:v>
                </c:pt>
                <c:pt idx="471">
                  <c:v>-7.4472079021539415</c:v>
                </c:pt>
                <c:pt idx="472">
                  <c:v>-7.4572274249957315</c:v>
                </c:pt>
                <c:pt idx="473">
                  <c:v>-7.4668208147287931</c:v>
                </c:pt>
                <c:pt idx="474">
                  <c:v>-7.4760051748829941</c:v>
                </c:pt>
                <c:pt idx="475">
                  <c:v>-7.484797008527023</c:v>
                </c:pt>
                <c:pt idx="476">
                  <c:v>-7.493212232005475</c:v>
                </c:pt>
                <c:pt idx="477">
                  <c:v>-7.5012661890366221</c:v>
                </c:pt>
                <c:pt idx="478">
                  <c:v>-7.5089736650896537</c:v>
                </c:pt>
                <c:pt idx="479">
                  <c:v>-7.5163489019680574</c:v>
                </c:pt>
                <c:pt idx="480">
                  <c:v>-7.5234056125314375</c:v>
                </c:pt>
                <c:pt idx="481">
                  <c:v>-7.5301569954968164</c:v>
                </c:pt>
                <c:pt idx="482">
                  <c:v>-7.5366157502623121</c:v>
                </c:pt>
                <c:pt idx="483">
                  <c:v>-7.542794091705308</c:v>
                </c:pt>
                <c:pt idx="484">
                  <c:v>-7.5487037649090469</c:v>
                </c:pt>
                <c:pt idx="485">
                  <c:v>-7.5543560597804156</c:v>
                </c:pt>
                <c:pt idx="486">
                  <c:v>-7.5597618255199865</c:v>
                </c:pt>
                <c:pt idx="487">
                  <c:v>-7.5649314849167526</c:v>
                </c:pt>
                <c:pt idx="488">
                  <c:v>-7.5698750484397195</c:v>
                </c:pt>
                <c:pt idx="489">
                  <c:v>-7.5746021280989142</c:v>
                </c:pt>
                <c:pt idx="490">
                  <c:v>-7.5791219510622119</c:v>
                </c:pt>
                <c:pt idx="491">
                  <c:v>-7.5834433730038944</c:v>
                </c:pt>
                <c:pt idx="492">
                  <c:v>-7.5875748911736762</c:v>
                </c:pt>
                <c:pt idx="493">
                  <c:v>-7.5915246571749284</c:v>
                </c:pt>
                <c:pt idx="494">
                  <c:v>-7.5953004894392331</c:v>
                </c:pt>
                <c:pt idx="495">
                  <c:v>-7.5989098853920956</c:v>
                </c:pt>
                <c:pt idx="496">
                  <c:v>-7.6023600333028396</c:v>
                </c:pt>
                <c:pt idx="497">
                  <c:v>-7.605657823814469</c:v>
                </c:pt>
                <c:pt idx="498">
                  <c:v>-7.6088098611526824</c:v>
                </c:pt>
                <c:pt idx="499">
                  <c:v>-7.6118224740093474</c:v>
                </c:pt>
                <c:pt idx="500">
                  <c:v>-7.614701726104335</c:v>
                </c:pt>
                <c:pt idx="501">
                  <c:v>-7.6174534264244951</c:v>
                </c:pt>
                <c:pt idx="502">
                  <c:v>-7.6200831391419888</c:v>
                </c:pt>
                <c:pt idx="503">
                  <c:v>-7.622596193216733</c:v>
                </c:pt>
                <c:pt idx="504">
                  <c:v>-7.6249976916841966</c:v>
                </c:pt>
                <c:pt idx="505">
                  <c:v>-7.6272925206350015</c:v>
                </c:pt>
                <c:pt idx="506">
                  <c:v>-7.6294853578902586</c:v>
                </c:pt>
                <c:pt idx="507">
                  <c:v>-7.6315806813780647</c:v>
                </c:pt>
                <c:pt idx="508">
                  <c:v>-7.6335827772177307</c:v>
                </c:pt>
                <c:pt idx="509">
                  <c:v>-7.6354957475170053</c:v>
                </c:pt>
                <c:pt idx="510">
                  <c:v>-7.6373235178895893</c:v>
                </c:pt>
                <c:pt idx="511">
                  <c:v>-7.6390698446989447</c:v>
                </c:pt>
                <c:pt idx="512">
                  <c:v>-7.6407383220358298</c:v>
                </c:pt>
                <c:pt idx="513">
                  <c:v>-7.6423323884365848</c:v>
                </c:pt>
                <c:pt idx="514">
                  <c:v>-7.6438553333480499</c:v>
                </c:pt>
                <c:pt idx="515">
                  <c:v>-7.6453103033489871</c:v>
                </c:pt>
                <c:pt idx="516">
                  <c:v>-7.6467003081311642</c:v>
                </c:pt>
                <c:pt idx="517">
                  <c:v>-7.64802822625186</c:v>
                </c:pt>
                <c:pt idx="518">
                  <c:v>-7.6492968106612871</c:v>
                </c:pt>
                <c:pt idx="519">
                  <c:v>-7.6505086940134799</c:v>
                </c:pt>
                <c:pt idx="520">
                  <c:v>-7.6516663937681537</c:v>
                </c:pt>
                <c:pt idx="521">
                  <c:v>-7.6527723170888748</c:v>
                </c:pt>
                <c:pt idx="522">
                  <c:v>-7.6538287655470336</c:v>
                </c:pt>
                <c:pt idx="523">
                  <c:v>-7.6548379396346071</c:v>
                </c:pt>
                <c:pt idx="524">
                  <c:v>-7.6558019430960549</c:v>
                </c:pt>
                <c:pt idx="525">
                  <c:v>-7.65672278708323</c:v>
                </c:pt>
                <c:pt idx="526">
                  <c:v>-7.657602394140941</c:v>
                </c:pt>
                <c:pt idx="527">
                  <c:v>-7.6584426020282841</c:v>
                </c:pt>
                <c:pt idx="528">
                  <c:v>-7.6592451673834603</c:v>
                </c:pt>
                <c:pt idx="529">
                  <c:v>-7.6600117692354353</c:v>
                </c:pt>
                <c:pt idx="530">
                  <c:v>-7.6607440123709525</c:v>
                </c:pt>
                <c:pt idx="531">
                  <c:v>-7.661443430559574</c:v>
                </c:pt>
                <c:pt idx="532">
                  <c:v>-7.6621114896451292</c:v>
                </c:pt>
                <c:pt idx="533">
                  <c:v>-7.6627495905058947</c:v>
                </c:pt>
                <c:pt idx="534">
                  <c:v>-7.6633590718909161</c:v>
                </c:pt>
                <c:pt idx="535">
                  <c:v>-7.6639412131353533</c:v>
                </c:pt>
                <c:pt idx="536">
                  <c:v>-7.6644972367616484</c:v>
                </c:pt>
                <c:pt idx="537">
                  <c:v>-7.6650283109693804</c:v>
                </c:pt>
                <c:pt idx="538">
                  <c:v>-7.6655355520187785</c:v>
                </c:pt>
                <c:pt idx="539">
                  <c:v>-7.6660200265128342</c:v>
                </c:pt>
                <c:pt idx="540">
                  <c:v>-7.6664827535811773</c:v>
                </c:pt>
                <c:pt idx="541">
                  <c:v>-7.6669247069703514</c:v>
                </c:pt>
              </c:numCache>
            </c:numRef>
          </c:yVal>
          <c:smooth val="1"/>
          <c:extLst>
            <c:ext xmlns:c16="http://schemas.microsoft.com/office/drawing/2014/chart" uri="{C3380CC4-5D6E-409C-BE32-E72D297353CC}">
              <c16:uniqueId val="{00000000-F11A-4C29-9835-786B9CEC5C6A}"/>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64.35416227855309</c:v>
                </c:pt>
                <c:pt idx="1">
                  <c:v>63.847582175561342</c:v>
                </c:pt>
                <c:pt idx="2">
                  <c:v>63.334543964624544</c:v>
                </c:pt>
                <c:pt idx="3">
                  <c:v>62.815166267228228</c:v>
                </c:pt>
                <c:pt idx="4">
                  <c:v>62.289579726675967</c:v>
                </c:pt>
                <c:pt idx="5">
                  <c:v>61.757927216171041</c:v>
                </c:pt>
                <c:pt idx="6">
                  <c:v>61.220364011421623</c:v>
                </c:pt>
                <c:pt idx="7">
                  <c:v>60.677057924695355</c:v>
                </c:pt>
                <c:pt idx="8">
                  <c:v>60.128189397352998</c:v>
                </c:pt>
                <c:pt idx="9">
                  <c:v>59.573951548019771</c:v>
                </c:pt>
                <c:pt idx="10">
                  <c:v>59.014550173760647</c:v>
                </c:pt>
                <c:pt idx="11">
                  <c:v>58.450203701840096</c:v>
                </c:pt>
                <c:pt idx="12">
                  <c:v>57.881143089923924</c:v>
                </c:pt>
                <c:pt idx="13">
                  <c:v>57.307611672904955</c:v>
                </c:pt>
                <c:pt idx="14">
                  <c:v>56.729864954877669</c:v>
                </c:pt>
                <c:pt idx="15">
                  <c:v>56.148170345195204</c:v>
                </c:pt>
                <c:pt idx="16">
                  <c:v>55.562806837970918</c:v>
                </c:pt>
                <c:pt idx="17">
                  <c:v>54.974064634845519</c:v>
                </c:pt>
                <c:pt idx="18">
                  <c:v>54.382244711340782</c:v>
                </c:pt>
                <c:pt idx="19">
                  <c:v>53.787658327625088</c:v>
                </c:pt>
                <c:pt idx="20">
                  <c:v>53.19062648504643</c:v>
                </c:pt>
                <c:pt idx="21">
                  <c:v>52.591479330317611</c:v>
                </c:pt>
                <c:pt idx="22">
                  <c:v>51.990555509773962</c:v>
                </c:pt>
                <c:pt idx="23">
                  <c:v>51.388201476645023</c:v>
                </c:pt>
                <c:pt idx="24">
                  <c:v>50.784770754788923</c:v>
                </c:pt>
                <c:pt idx="25">
                  <c:v>50.180623162812289</c:v>
                </c:pt>
                <c:pt idx="26">
                  <c:v>49.57612400295713</c:v>
                </c:pt>
                <c:pt idx="27">
                  <c:v>48.971643219523067</c:v>
                </c:pt>
                <c:pt idx="28">
                  <c:v>48.367554531962774</c:v>
                </c:pt>
                <c:pt idx="29">
                  <c:v>47.764234548078321</c:v>
                </c:pt>
                <c:pt idx="30">
                  <c:v>47.162061862987805</c:v>
                </c:pt>
                <c:pt idx="31">
                  <c:v>46.561416149702019</c:v>
                </c:pt>
                <c:pt idx="32">
                  <c:v>45.962677247254426</c:v>
                </c:pt>
                <c:pt idx="33">
                  <c:v>45.36622425235732</c:v>
                </c:pt>
                <c:pt idx="34">
                  <c:v>44.772434620520592</c:v>
                </c:pt>
                <c:pt idx="35">
                  <c:v>44.181683282454614</c:v>
                </c:pt>
                <c:pt idx="36">
                  <c:v>43.594341781400352</c:v>
                </c:pt>
                <c:pt idx="37">
                  <c:v>43.010777436785446</c:v>
                </c:pt>
                <c:pt idx="38">
                  <c:v>42.431352539297166</c:v>
                </c:pt>
                <c:pt idx="39">
                  <c:v>41.856423582103197</c:v>
                </c:pt>
                <c:pt idx="40">
                  <c:v>41.286340532542589</c:v>
                </c:pt>
                <c:pt idx="41">
                  <c:v>40.7214461481502</c:v>
                </c:pt>
                <c:pt idx="42">
                  <c:v>40.162075340410787</c:v>
                </c:pt>
                <c:pt idx="43">
                  <c:v>39.608554589108444</c:v>
                </c:pt>
                <c:pt idx="44">
                  <c:v>39.061201409629511</c:v>
                </c:pt>
                <c:pt idx="45">
                  <c:v>38.520323875033142</c:v>
                </c:pt>
                <c:pt idx="46">
                  <c:v>37.986220194171054</c:v>
                </c:pt>
                <c:pt idx="47">
                  <c:v>37.459178346616923</c:v>
                </c:pt>
                <c:pt idx="48">
                  <c:v>36.939475774646695</c:v>
                </c:pt>
                <c:pt idx="49">
                  <c:v>36.427379132028861</c:v>
                </c:pt>
                <c:pt idx="50">
                  <c:v>35.923144088914256</c:v>
                </c:pt>
                <c:pt idx="51">
                  <c:v>35.427015191690579</c:v>
                </c:pt>
                <c:pt idx="52">
                  <c:v>34.939225776267314</c:v>
                </c:pt>
                <c:pt idx="53">
                  <c:v>34.459997932902702</c:v>
                </c:pt>
                <c:pt idx="54">
                  <c:v>33.989542520375039</c:v>
                </c:pt>
                <c:pt idx="55">
                  <c:v>33.528059227022155</c:v>
                </c:pt>
                <c:pt idx="56">
                  <c:v>33.075736675947674</c:v>
                </c:pt>
                <c:pt idx="57">
                  <c:v>32.632752571514978</c:v>
                </c:pt>
                <c:pt idx="58">
                  <c:v>32.199273884092676</c:v>
                </c:pt>
                <c:pt idx="59">
                  <c:v>31.775457069928262</c:v>
                </c:pt>
                <c:pt idx="60">
                  <c:v>31.361448322949684</c:v>
                </c:pt>
                <c:pt idx="61">
                  <c:v>30.957383855277595</c:v>
                </c:pt>
                <c:pt idx="62">
                  <c:v>30.563390203226206</c:v>
                </c:pt>
                <c:pt idx="63">
                  <c:v>30.179584555611761</c:v>
                </c:pt>
                <c:pt idx="64">
                  <c:v>29.806075101248009</c:v>
                </c:pt>
                <c:pt idx="65">
                  <c:v>29.442961392591791</c:v>
                </c:pt>
                <c:pt idx="66">
                  <c:v>29.090334722604105</c:v>
                </c:pt>
                <c:pt idx="67">
                  <c:v>28.748278512022967</c:v>
                </c:pt>
                <c:pt idx="68">
                  <c:v>28.416868704366323</c:v>
                </c:pt>
                <c:pt idx="69">
                  <c:v>28.096174166139754</c:v>
                </c:pt>
                <c:pt idx="70">
                  <c:v>27.786257089873288</c:v>
                </c:pt>
                <c:pt idx="71">
                  <c:v>27.487173397765659</c:v>
                </c:pt>
                <c:pt idx="72">
                  <c:v>27.198973143884583</c:v>
                </c:pt>
                <c:pt idx="73">
                  <c:v>26.921700913022317</c:v>
                </c:pt>
                <c:pt idx="74">
                  <c:v>26.655396214475068</c:v>
                </c:pt>
                <c:pt idx="75">
                  <c:v>26.400093869164028</c:v>
                </c:pt>
                <c:pt idx="76">
                  <c:v>26.155824388672439</c:v>
                </c:pt>
                <c:pt idx="77">
                  <c:v>25.922614344917999</c:v>
                </c:pt>
                <c:pt idx="78">
                  <c:v>25.700486729318467</c:v>
                </c:pt>
                <c:pt idx="79">
                  <c:v>25.489461300441398</c:v>
                </c:pt>
                <c:pt idx="80">
                  <c:v>25.289554919250556</c:v>
                </c:pt>
                <c:pt idx="81">
                  <c:v>25.100781871182992</c:v>
                </c:pt>
                <c:pt idx="82">
                  <c:v>24.923154174383939</c:v>
                </c:pt>
                <c:pt idx="83">
                  <c:v>24.756681873542945</c:v>
                </c:pt>
                <c:pt idx="84">
                  <c:v>24.601373318842175</c:v>
                </c:pt>
                <c:pt idx="85">
                  <c:v>24.457235429627687</c:v>
                </c:pt>
                <c:pt idx="86">
                  <c:v>24.324273942466885</c:v>
                </c:pt>
                <c:pt idx="87">
                  <c:v>24.202493643335288</c:v>
                </c:pt>
                <c:pt idx="88">
                  <c:v>24.091898583716574</c:v>
                </c:pt>
                <c:pt idx="89">
                  <c:v>23.992492280456162</c:v>
                </c:pt>
                <c:pt idx="90">
                  <c:v>23.904277899244775</c:v>
                </c:pt>
                <c:pt idx="91">
                  <c:v>23.827258421643613</c:v>
                </c:pt>
                <c:pt idx="92">
                  <c:v>23.761436795589766</c:v>
                </c:pt>
                <c:pt idx="93">
                  <c:v>23.706816069342079</c:v>
                </c:pt>
                <c:pt idx="94">
                  <c:v>23.663399508846549</c:v>
                </c:pt>
                <c:pt idx="95">
                  <c:v>23.631190698510213</c:v>
                </c:pt>
                <c:pt idx="96">
                  <c:v>23.610193625383776</c:v>
                </c:pt>
                <c:pt idx="97">
                  <c:v>23.600412746756611</c:v>
                </c:pt>
                <c:pt idx="98">
                  <c:v>23.601853041171825</c:v>
                </c:pt>
                <c:pt idx="99">
                  <c:v>23.614520042868126</c:v>
                </c:pt>
                <c:pt idx="100">
                  <c:v>23.638419859655556</c:v>
                </c:pt>
                <c:pt idx="101">
                  <c:v>23.673559174227993</c:v>
                </c:pt>
                <c:pt idx="102">
                  <c:v>23.719945228914266</c:v>
                </c:pt>
                <c:pt idx="103">
                  <c:v>23.777585793866585</c:v>
                </c:pt>
                <c:pt idx="104">
                  <c:v>23.846489118681323</c:v>
                </c:pt>
                <c:pt idx="105">
                  <c:v>23.926663867448415</c:v>
                </c:pt>
                <c:pt idx="106">
                  <c:v>24.018119037225532</c:v>
                </c:pt>
                <c:pt idx="107">
                  <c:v>24.120863859936271</c:v>
                </c:pt>
                <c:pt idx="108">
                  <c:v>24.234907687697216</c:v>
                </c:pt>
                <c:pt idx="109">
                  <c:v>24.360259861590357</c:v>
                </c:pt>
                <c:pt idx="110">
                  <c:v>24.496929563906534</c:v>
                </c:pt>
                <c:pt idx="111">
                  <c:v>24.644925653909151</c:v>
                </c:pt>
                <c:pt idx="112">
                  <c:v>24.804256487187384</c:v>
                </c:pt>
                <c:pt idx="113">
                  <c:v>24.974929718694312</c:v>
                </c:pt>
                <c:pt idx="114">
                  <c:v>25.156952089609177</c:v>
                </c:pt>
                <c:pt idx="115">
                  <c:v>25.350329198194178</c:v>
                </c:pt>
                <c:pt idx="116">
                  <c:v>25.55506525487289</c:v>
                </c:pt>
                <c:pt idx="117">
                  <c:v>25.771162821810524</c:v>
                </c:pt>
                <c:pt idx="118">
                  <c:v>25.9986225373423</c:v>
                </c:pt>
                <c:pt idx="119">
                  <c:v>26.237442825666879</c:v>
                </c:pt>
                <c:pt idx="120">
                  <c:v>26.487619592307055</c:v>
                </c:pt>
                <c:pt idx="121">
                  <c:v>26.749145905926817</c:v>
                </c:pt>
                <c:pt idx="122">
                  <c:v>27.02201166719572</c:v>
                </c:pt>
                <c:pt idx="123">
                  <c:v>27.306203265497171</c:v>
                </c:pt>
                <c:pt idx="124">
                  <c:v>27.60170322439939</c:v>
                </c:pt>
                <c:pt idx="125">
                  <c:v>27.908489836923849</c:v>
                </c:pt>
                <c:pt idx="126">
                  <c:v>28.226536791792906</c:v>
                </c:pt>
                <c:pt idx="127">
                  <c:v>28.555812791965486</c:v>
                </c:pt>
                <c:pt idx="128">
                  <c:v>28.896281166925551</c:v>
                </c:pt>
                <c:pt idx="129">
                  <c:v>29.247899480343495</c:v>
                </c:pt>
                <c:pt idx="130">
                  <c:v>29.610619134875346</c:v>
                </c:pt>
                <c:pt idx="131">
                  <c:v>29.984384976042406</c:v>
                </c:pt>
                <c:pt idx="132">
                  <c:v>30.369134897277299</c:v>
                </c:pt>
                <c:pt idx="133">
                  <c:v>30.764799448401522</c:v>
                </c:pt>
                <c:pt idx="134">
                  <c:v>31.171301449936934</c:v>
                </c:pt>
                <c:pt idx="135">
                  <c:v>31.588555615822813</c:v>
                </c:pt>
                <c:pt idx="136">
                  <c:v>32.016468187242189</c:v>
                </c:pt>
                <c:pt idx="137">
                  <c:v>32.454936580401316</c:v>
                </c:pt>
                <c:pt idx="138">
                  <c:v>32.903849051212816</c:v>
                </c:pt>
                <c:pt idx="139">
                  <c:v>33.363084379950848</c:v>
                </c:pt>
                <c:pt idx="140">
                  <c:v>33.832511579008539</c:v>
                </c:pt>
                <c:pt idx="141">
                  <c:v>34.311989626955508</c:v>
                </c:pt>
                <c:pt idx="142">
                  <c:v>34.801367232116505</c:v>
                </c:pt>
                <c:pt idx="143">
                  <c:v>35.300482628891409</c:v>
                </c:pt>
                <c:pt idx="144">
                  <c:v>35.809163410000032</c:v>
                </c:pt>
                <c:pt idx="145">
                  <c:v>36.327226397762338</c:v>
                </c:pt>
                <c:pt idx="146">
                  <c:v>36.854477557416089</c:v>
                </c:pt>
                <c:pt idx="147">
                  <c:v>37.390711955315325</c:v>
                </c:pt>
                <c:pt idx="148">
                  <c:v>37.93571376466506</c:v>
                </c:pt>
                <c:pt idx="149">
                  <c:v>38.489256321208089</c:v>
                </c:pt>
                <c:pt idx="150">
                  <c:v>39.051102230993379</c:v>
                </c:pt>
                <c:pt idx="151">
                  <c:v>39.621003532041193</c:v>
                </c:pt>
                <c:pt idx="152">
                  <c:v>40.19870191134644</c:v>
                </c:pt>
                <c:pt idx="153">
                  <c:v>40.783928978266673</c:v>
                </c:pt>
                <c:pt idx="154">
                  <c:v>41.376406594892678</c:v>
                </c:pt>
                <c:pt idx="155">
                  <c:v>41.975847263541375</c:v>
                </c:pt>
                <c:pt idx="156">
                  <c:v>42.581954571004665</c:v>
                </c:pt>
                <c:pt idx="157">
                  <c:v>43.194423688680217</c:v>
                </c:pt>
                <c:pt idx="158">
                  <c:v>43.812941927173611</c:v>
                </c:pt>
                <c:pt idx="159">
                  <c:v>44.437189343430376</c:v>
                </c:pt>
                <c:pt idx="160">
                  <c:v>45.066839397925307</c:v>
                </c:pt>
                <c:pt idx="161">
                  <c:v>45.701559658903967</c:v>
                </c:pt>
                <c:pt idx="162">
                  <c:v>46.341012550176558</c:v>
                </c:pt>
                <c:pt idx="163">
                  <c:v>46.98485613847788</c:v>
                </c:pt>
                <c:pt idx="164">
                  <c:v>47.632744955967944</c:v>
                </c:pt>
                <c:pt idx="165">
                  <c:v>48.284330853046747</c:v>
                </c:pt>
                <c:pt idx="166">
                  <c:v>48.939263876302583</c:v>
                </c:pt>
                <c:pt idx="167">
                  <c:v>49.597193166123517</c:v>
                </c:pt>
                <c:pt idx="168">
                  <c:v>50.257767868267173</c:v>
                </c:pt>
                <c:pt idx="169">
                  <c:v>50.92063805351696</c:v>
                </c:pt>
                <c:pt idx="170">
                  <c:v>51.585455639454558</c:v>
                </c:pt>
                <c:pt idx="171">
                  <c:v>52.251875308357739</c:v>
                </c:pt>
                <c:pt idx="172">
                  <c:v>52.919555415274296</c:v>
                </c:pt>
                <c:pt idx="173">
                  <c:v>53.588158880438165</c:v>
                </c:pt>
                <c:pt idx="174">
                  <c:v>54.257354060380059</c:v>
                </c:pt>
                <c:pt idx="175">
                  <c:v>54.926815592338777</c:v>
                </c:pt>
                <c:pt idx="176">
                  <c:v>55.596225206880391</c:v>
                </c:pt>
                <c:pt idx="177">
                  <c:v>56.265272504001786</c:v>
                </c:pt>
                <c:pt idx="178">
                  <c:v>56.933655688406731</c:v>
                </c:pt>
                <c:pt idx="179">
                  <c:v>57.601082260088582</c:v>
                </c:pt>
                <c:pt idx="180">
                  <c:v>58.267269656846658</c:v>
                </c:pt>
                <c:pt idx="181">
                  <c:v>58.931945845857605</c:v>
                </c:pt>
                <c:pt idx="182">
                  <c:v>59.594849861956625</c:v>
                </c:pt>
                <c:pt idx="183">
                  <c:v>60.255732290808901</c:v>
                </c:pt>
                <c:pt idx="184">
                  <c:v>60.914355695676107</c:v>
                </c:pt>
                <c:pt idx="185">
                  <c:v>61.570494987007926</c:v>
                </c:pt>
                <c:pt idx="186">
                  <c:v>62.223937734589462</c:v>
                </c:pt>
                <c:pt idx="187">
                  <c:v>62.874484422454657</c:v>
                </c:pt>
                <c:pt idx="188">
                  <c:v>63.521948647229493</c:v>
                </c:pt>
                <c:pt idx="189">
                  <c:v>64.16615726099279</c:v>
                </c:pt>
                <c:pt idx="190">
                  <c:v>64.806950460114081</c:v>
                </c:pt>
                <c:pt idx="191">
                  <c:v>65.444181821884825</c:v>
                </c:pt>
                <c:pt idx="192">
                  <c:v>66.077718291049578</c:v>
                </c:pt>
                <c:pt idx="193">
                  <c:v>66.707440118602975</c:v>
                </c:pt>
                <c:pt idx="194">
                  <c:v>67.333240755437757</c:v>
                </c:pt>
                <c:pt idx="195">
                  <c:v>67.955026703591599</c:v>
                </c:pt>
                <c:pt idx="196">
                  <c:v>68.572717327973038</c:v>
                </c:pt>
                <c:pt idx="197">
                  <c:v>69.18624463153364</c:v>
                </c:pt>
                <c:pt idx="198">
                  <c:v>69.795552996900327</c:v>
                </c:pt>
                <c:pt idx="199">
                  <c:v>70.400598897494106</c:v>
                </c:pt>
                <c:pt idx="200">
                  <c:v>71.00135058114364</c:v>
                </c:pt>
                <c:pt idx="201">
                  <c:v>71.597787729148124</c:v>
                </c:pt>
                <c:pt idx="202">
                  <c:v>72.189901093664744</c:v>
                </c:pt>
                <c:pt idx="203">
                  <c:v>72.77769211620128</c:v>
                </c:pt>
                <c:pt idx="204">
                  <c:v>73.361172529864191</c:v>
                </c:pt>
                <c:pt idx="205">
                  <c:v>73.940363947880456</c:v>
                </c:pt>
                <c:pt idx="206">
                  <c:v>74.515297440756697</c:v>
                </c:pt>
                <c:pt idx="207">
                  <c:v>75.086013104276589</c:v>
                </c:pt>
                <c:pt idx="208">
                  <c:v>75.652559620366148</c:v>
                </c:pt>
                <c:pt idx="209">
                  <c:v>76.214993812681954</c:v>
                </c:pt>
                <c:pt idx="210">
                  <c:v>76.773380198597621</c:v>
                </c:pt>
                <c:pt idx="211">
                  <c:v>77.327790539085584</c:v>
                </c:pt>
                <c:pt idx="212">
                  <c:v>77.878303387810448</c:v>
                </c:pt>
                <c:pt idx="213">
                  <c:v>78.425003640580314</c:v>
                </c:pt>
                <c:pt idx="214">
                  <c:v>78.96798208612833</c:v>
                </c:pt>
                <c:pt idx="215">
                  <c:v>79.507334959032065</c:v>
                </c:pt>
                <c:pt idx="216">
                  <c:v>80.043163495425773</c:v>
                </c:pt>
                <c:pt idx="217">
                  <c:v>80.575573492004423</c:v>
                </c:pt>
                <c:pt idx="218">
                  <c:v>81.10467486868167</c:v>
                </c:pt>
                <c:pt idx="219">
                  <c:v>81.630581235133306</c:v>
                </c:pt>
                <c:pt idx="220">
                  <c:v>82.153409461327669</c:v>
                </c:pt>
                <c:pt idx="221">
                  <c:v>82.673279252044324</c:v>
                </c:pt>
                <c:pt idx="222">
                  <c:v>83.19031272526513</c:v>
                </c:pt>
                <c:pt idx="223">
                  <c:v>83.704633994243864</c:v>
                </c:pt>
                <c:pt idx="224">
                  <c:v>84.216368752967711</c:v>
                </c:pt>
                <c:pt idx="225">
                  <c:v>84.725643864656661</c:v>
                </c:pt>
                <c:pt idx="226">
                  <c:v>85.232586952888639</c:v>
                </c:pt>
                <c:pt idx="227">
                  <c:v>85.737325994876841</c:v>
                </c:pt>
                <c:pt idx="228">
                  <c:v>86.239988916397195</c:v>
                </c:pt>
                <c:pt idx="229">
                  <c:v>86.740703187825389</c:v>
                </c:pt>
                <c:pt idx="230">
                  <c:v>87.239595420720178</c:v>
                </c:pt>
                <c:pt idx="231">
                  <c:v>87.736790964390451</c:v>
                </c:pt>
                <c:pt idx="232">
                  <c:v>88.232413501864514</c:v>
                </c:pt>
                <c:pt idx="233">
                  <c:v>88.726584644712489</c:v>
                </c:pt>
                <c:pt idx="234">
                  <c:v>89.219423526170289</c:v>
                </c:pt>
                <c:pt idx="235">
                  <c:v>89.711046392056673</c:v>
                </c:pt>
                <c:pt idx="236">
                  <c:v>90.201566189014287</c:v>
                </c:pt>
                <c:pt idx="237">
                  <c:v>90.691092149648043</c:v>
                </c:pt>
                <c:pt idx="238">
                  <c:v>91.179729374202935</c:v>
                </c:pt>
                <c:pt idx="239">
                  <c:v>91.667578408489831</c:v>
                </c:pt>
                <c:pt idx="240">
                  <c:v>92.154734817848379</c:v>
                </c:pt>
                <c:pt idx="241">
                  <c:v>92.64128875703355</c:v>
                </c:pt>
                <c:pt idx="242">
                  <c:v>93.127324536005972</c:v>
                </c:pt>
                <c:pt idx="243">
                  <c:v>93.612920181724917</c:v>
                </c:pt>
                <c:pt idx="244">
                  <c:v>94.098146996161802</c:v>
                </c:pt>
                <c:pt idx="245">
                  <c:v>94.583069110887237</c:v>
                </c:pt>
                <c:pt idx="246">
                  <c:v>95.067743038720806</c:v>
                </c:pt>
                <c:pt idx="247">
                  <c:v>95.552217223091517</c:v>
                </c:pt>
                <c:pt idx="248">
                  <c:v>96.036531585906133</c:v>
                </c:pt>
                <c:pt idx="249">
                  <c:v>96.520717074898698</c:v>
                </c:pt>
                <c:pt idx="250">
                  <c:v>97.004795211600282</c:v>
                </c:pt>
                <c:pt idx="251">
                  <c:v>97.488777641248703</c:v>
                </c:pt>
                <c:pt idx="252">
                  <c:v>97.972665686144353</c:v>
                </c:pt>
                <c:pt idx="253">
                  <c:v>98.456449904136576</c:v>
                </c:pt>
                <c:pt idx="254">
                  <c:v>98.940109654112334</c:v>
                </c:pt>
                <c:pt idx="255">
                  <c:v>99.423612670550057</c:v>
                </c:pt>
                <c:pt idx="256">
                  <c:v>99.90691464936657</c:v>
                </c:pt>
                <c:pt idx="257">
                  <c:v>100.38995884747496</c:v>
                </c:pt>
                <c:pt idx="258">
                  <c:v>100.87267569862379</c:v>
                </c:pt>
                <c:pt idx="259">
                  <c:v>101.35498244824524</c:v>
                </c:pt>
                <c:pt idx="260">
                  <c:v>101.83678281017636</c:v>
                </c:pt>
                <c:pt idx="261">
                  <c:v>102.31796664823673</c:v>
                </c:pt>
                <c:pt idx="262">
                  <c:v>102.79840968573851</c:v>
                </c:pt>
                <c:pt idx="263">
                  <c:v>103.27797324608299</c:v>
                </c:pt>
                <c:pt idx="264">
                  <c:v>103.75650402763523</c:v>
                </c:pt>
                <c:pt idx="265">
                  <c:v>104.23383391608176</c:v>
                </c:pt>
                <c:pt idx="266">
                  <c:v>104.70977983745369</c:v>
                </c:pt>
                <c:pt idx="267">
                  <c:v>105.18414365493879</c:v>
                </c:pt>
                <c:pt idx="268">
                  <c:v>105.6567121124973</c:v>
                </c:pt>
                <c:pt idx="269">
                  <c:v>106.12725682817046</c:v>
                </c:pt>
                <c:pt idx="270">
                  <c:v>106.5955343397677</c:v>
                </c:pt>
                <c:pt idx="271">
                  <c:v>107.06128620540734</c:v>
                </c:pt>
                <c:pt idx="272">
                  <c:v>107.52423916109939</c:v>
                </c:pt>
                <c:pt idx="273">
                  <c:v>107.9841053372588</c:v>
                </c:pt>
                <c:pt idx="274">
                  <c:v>108.44058253567282</c:v>
                </c:pt>
                <c:pt idx="275">
                  <c:v>108.89335456805685</c:v>
                </c:pt>
                <c:pt idx="276">
                  <c:v>109.34209165690476</c:v>
                </c:pt>
                <c:pt idx="277">
                  <c:v>109.78645089888205</c:v>
                </c:pt>
                <c:pt idx="278">
                  <c:v>110.22607679052761</c:v>
                </c:pt>
                <c:pt idx="279">
                  <c:v>110.66060181552086</c:v>
                </c:pt>
                <c:pt idx="280">
                  <c:v>111.08964709226599</c:v>
                </c:pt>
                <c:pt idx="281">
                  <c:v>111.51282308001603</c:v>
                </c:pt>
                <c:pt idx="282">
                  <c:v>111.92973034124549</c:v>
                </c:pt>
                <c:pt idx="283">
                  <c:v>112.33996035747448</c:v>
                </c:pt>
                <c:pt idx="284">
                  <c:v>112.74309639525799</c:v>
                </c:pt>
                <c:pt idx="285">
                  <c:v>113.13871441859143</c:v>
                </c:pt>
                <c:pt idx="286">
                  <c:v>113.52638404356198</c:v>
                </c:pt>
                <c:pt idx="287">
                  <c:v>113.90566953069167</c:v>
                </c:pt>
                <c:pt idx="288">
                  <c:v>114.27613081007968</c:v>
                </c:pt>
                <c:pt idx="289">
                  <c:v>114.63732453417863</c:v>
                </c:pt>
                <c:pt idx="290">
                  <c:v>114.98880515281813</c:v>
                </c:pt>
                <c:pt idx="291">
                  <c:v>115.33012600493291</c:v>
                </c:pt>
                <c:pt idx="292">
                  <c:v>115.66084042136542</c:v>
                </c:pt>
                <c:pt idx="293">
                  <c:v>115.98050283309456</c:v>
                </c:pt>
                <c:pt idx="294">
                  <c:v>116.28866987927726</c:v>
                </c:pt>
                <c:pt idx="295">
                  <c:v>116.58490150961582</c:v>
                </c:pt>
                <c:pt idx="296">
                  <c:v>116.86876207572168</c:v>
                </c:pt>
                <c:pt idx="297">
                  <c:v>117.13982140638903</c:v>
                </c:pt>
                <c:pt idx="298">
                  <c:v>117.39765586196636</c:v>
                </c:pt>
                <c:pt idx="299">
                  <c:v>117.64184936335214</c:v>
                </c:pt>
                <c:pt idx="300">
                  <c:v>117.87199439150307</c:v>
                </c:pt>
                <c:pt idx="301">
                  <c:v>118.08769295374198</c:v>
                </c:pt>
                <c:pt idx="302">
                  <c:v>118.28855751358202</c:v>
                </c:pt>
                <c:pt idx="303">
                  <c:v>118.47421188121145</c:v>
                </c:pt>
                <c:pt idx="304">
                  <c:v>118.64429206222378</c:v>
                </c:pt>
                <c:pt idx="305">
                  <c:v>118.79844706262638</c:v>
                </c:pt>
                <c:pt idx="306">
                  <c:v>118.93633964856801</c:v>
                </c:pt>
                <c:pt idx="307">
                  <c:v>119.05764705965184</c:v>
                </c:pt>
                <c:pt idx="308">
                  <c:v>119.16206167507033</c:v>
                </c:pt>
                <c:pt idx="309">
                  <c:v>119.24929163214897</c:v>
                </c:pt>
                <c:pt idx="310">
                  <c:v>119.31906139720513</c:v>
                </c:pt>
                <c:pt idx="311">
                  <c:v>119.37111228889341</c:v>
                </c:pt>
                <c:pt idx="312">
                  <c:v>119.40520295444111</c:v>
                </c:pt>
                <c:pt idx="313">
                  <c:v>119.42110979936339</c:v>
                </c:pt>
                <c:pt idx="314">
                  <c:v>119.41862737138089</c:v>
                </c:pt>
                <c:pt idx="315">
                  <c:v>119.39756869935894</c:v>
                </c:pt>
                <c:pt idx="316">
                  <c:v>119.35776558813259</c:v>
                </c:pt>
                <c:pt idx="317">
                  <c:v>119.29906887009624</c:v>
                </c:pt>
                <c:pt idx="318">
                  <c:v>119.22134861439248</c:v>
                </c:pt>
                <c:pt idx="319">
                  <c:v>119.12449429448978</c:v>
                </c:pt>
                <c:pt idx="320">
                  <c:v>119.0084149148251</c:v>
                </c:pt>
                <c:pt idx="321">
                  <c:v>118.87303909708848</c:v>
                </c:pt>
                <c:pt idx="322">
                  <c:v>118.71831512657801</c:v>
                </c:pt>
                <c:pt idx="323">
                  <c:v>118.54421095892539</c:v>
                </c:pt>
                <c:pt idx="324">
                  <c:v>118.35071418732583</c:v>
                </c:pt>
                <c:pt idx="325">
                  <c:v>118.1378319702736</c:v>
                </c:pt>
                <c:pt idx="326">
                  <c:v>117.90559091965795</c:v>
                </c:pt>
                <c:pt idx="327">
                  <c:v>117.65403694895728</c:v>
                </c:pt>
                <c:pt idx="328">
                  <c:v>117.38323508116338</c:v>
                </c:pt>
                <c:pt idx="329">
                  <c:v>117.0932692159973</c:v>
                </c:pt>
                <c:pt idx="330">
                  <c:v>116.78424185593562</c:v>
                </c:pt>
                <c:pt idx="331">
                  <c:v>116.45627379055966</c:v>
                </c:pt>
                <c:pt idx="332">
                  <c:v>116.10950373877805</c:v>
                </c:pt>
                <c:pt idx="333">
                  <c:v>115.74408794854888</c:v>
                </c:pt>
                <c:pt idx="334">
                  <c:v>115.36019975385256</c:v>
                </c:pt>
                <c:pt idx="335">
                  <c:v>114.95802908883691</c:v>
                </c:pt>
                <c:pt idx="336">
                  <c:v>114.53778195927332</c:v>
                </c:pt>
                <c:pt idx="337">
                  <c:v>114.09967987170839</c:v>
                </c:pt>
                <c:pt idx="338">
                  <c:v>113.64395922101974</c:v>
                </c:pt>
                <c:pt idx="339">
                  <c:v>113.17087063739996</c:v>
                </c:pt>
                <c:pt idx="340">
                  <c:v>112.68067829417926</c:v>
                </c:pt>
                <c:pt idx="341">
                  <c:v>112.17365917829095</c:v>
                </c:pt>
                <c:pt idx="342">
                  <c:v>111.65010232560047</c:v>
                </c:pt>
                <c:pt idx="343">
                  <c:v>111.11030802376017</c:v>
                </c:pt>
                <c:pt idx="344">
                  <c:v>110.55458698568115</c:v>
                </c:pt>
                <c:pt idx="345">
                  <c:v>109.98325949715107</c:v>
                </c:pt>
                <c:pt idx="346">
                  <c:v>109.39665454255172</c:v>
                </c:pt>
                <c:pt idx="347">
                  <c:v>108.79510891302343</c:v>
                </c:pt>
                <c:pt idx="348">
                  <c:v>108.17896630179811</c:v>
                </c:pt>
                <c:pt idx="349">
                  <c:v>107.54857639175495</c:v>
                </c:pt>
                <c:pt idx="350">
                  <c:v>106.90429394053014</c:v>
                </c:pt>
                <c:pt idx="351">
                  <c:v>106.24647786874856</c:v>
                </c:pt>
                <c:pt idx="352">
                  <c:v>105.57549035710915</c:v>
                </c:pt>
                <c:pt idx="353">
                  <c:v>104.89169595817219</c:v>
                </c:pt>
                <c:pt idx="354">
                  <c:v>104.19546072869728</c:v>
                </c:pt>
                <c:pt idx="355">
                  <c:v>103.48715138839907</c:v>
                </c:pt>
                <c:pt idx="356">
                  <c:v>102.7671345108119</c:v>
                </c:pt>
                <c:pt idx="357">
                  <c:v>102.03577575181922</c:v>
                </c:pt>
                <c:pt idx="358">
                  <c:v>101.29343912111835</c:v>
                </c:pt>
                <c:pt idx="359">
                  <c:v>100.54048630157479</c:v>
                </c:pt>
                <c:pt idx="360">
                  <c:v>99.777276021021152</c:v>
                </c:pt>
                <c:pt idx="361">
                  <c:v>99.004163480620306</c:v>
                </c:pt>
                <c:pt idx="362">
                  <c:v>98.221499843379007</c:v>
                </c:pt>
                <c:pt idx="363">
                  <c:v>97.429631785871834</c:v>
                </c:pt>
                <c:pt idx="364">
                  <c:v>96.628901115627144</c:v>
                </c:pt>
                <c:pt idx="365">
                  <c:v>95.81964445601632</c:v>
                </c:pt>
                <c:pt idx="366">
                  <c:v>95.002192999822427</c:v>
                </c:pt>
                <c:pt idx="367">
                  <c:v>94.176872332029191</c:v>
                </c:pt>
                <c:pt idx="368">
                  <c:v>93.344002321684471</c:v>
                </c:pt>
                <c:pt idx="369">
                  <c:v>92.503897082041647</c:v>
                </c:pt>
                <c:pt idx="370">
                  <c:v>91.656864997523741</c:v>
                </c:pt>
                <c:pt idx="371">
                  <c:v>90.803208815420277</c:v>
                </c:pt>
                <c:pt idx="372">
                  <c:v>89.943225799611938</c:v>
                </c:pt>
                <c:pt idx="373">
                  <c:v>89.07720794305061</c:v>
                </c:pt>
                <c:pt idx="374">
                  <c:v>88.205442235155473</c:v>
                </c:pt>
                <c:pt idx="375">
                  <c:v>87.328210979803416</c:v>
                </c:pt>
                <c:pt idx="376">
                  <c:v>86.445792159122462</c:v>
                </c:pt>
                <c:pt idx="377">
                  <c:v>85.558459837887312</c:v>
                </c:pt>
                <c:pt idx="378">
                  <c:v>84.666484602966293</c:v>
                </c:pt>
                <c:pt idx="379">
                  <c:v>83.770134031957369</c:v>
                </c:pt>
                <c:pt idx="380">
                  <c:v>82.86967318491088</c:v>
                </c:pt>
                <c:pt idx="381">
                  <c:v>81.965365112848644</c:v>
                </c:pt>
                <c:pt idx="382">
                  <c:v>81.057471376654746</c:v>
                </c:pt>
                <c:pt idx="383">
                  <c:v>80.146252569852052</c:v>
                </c:pt>
                <c:pt idx="384">
                  <c:v>79.231968838766178</c:v>
                </c:pt>
                <c:pt idx="385">
                  <c:v>78.314880393632322</c:v>
                </c:pt>
                <c:pt idx="386">
                  <c:v>77.39524800431353</c:v>
                </c:pt>
                <c:pt idx="387">
                  <c:v>76.473333474468475</c:v>
                </c:pt>
                <c:pt idx="388">
                  <c:v>75.549400088247367</c:v>
                </c:pt>
                <c:pt idx="389">
                  <c:v>74.623713023868405</c:v>
                </c:pt>
                <c:pt idx="390">
                  <c:v>73.69653972878973</c:v>
                </c:pt>
                <c:pt idx="391">
                  <c:v>72.768150251572294</c:v>
                </c:pt>
                <c:pt idx="392">
                  <c:v>71.838817525993491</c:v>
                </c:pt>
                <c:pt idx="393">
                  <c:v>70.908817603452647</c:v>
                </c:pt>
                <c:pt idx="394">
                  <c:v>69.978429830261845</c:v>
                </c:pt>
                <c:pt idx="395">
                  <c:v>69.04793696698529</c:v>
                </c:pt>
                <c:pt idx="396">
                  <c:v>68.117625247603527</c:v>
                </c:pt>
                <c:pt idx="397">
                  <c:v>67.187784376918799</c:v>
                </c:pt>
                <c:pt idx="398">
                  <c:v>66.258707465278533</c:v>
                </c:pt>
                <c:pt idx="399">
                  <c:v>65.330690900362313</c:v>
                </c:pt>
                <c:pt idx="400">
                  <c:v>64.404034156465471</c:v>
                </c:pt>
                <c:pt idx="401">
                  <c:v>63.479039542380754</c:v>
                </c:pt>
                <c:pt idx="402">
                  <c:v>62.55601188965457</c:v>
                </c:pt>
                <c:pt idx="403">
                  <c:v>61.635258183635045</c:v>
                </c:pt>
                <c:pt idx="404">
                  <c:v>60.71708714035308</c:v>
                </c:pt>
                <c:pt idx="405">
                  <c:v>59.801808732860493</c:v>
                </c:pt>
                <c:pt idx="406">
                  <c:v>58.889733671189596</c:v>
                </c:pt>
                <c:pt idx="407">
                  <c:v>57.981172840578004</c:v>
                </c:pt>
                <c:pt idx="408">
                  <c:v>57.07643670304293</c:v>
                </c:pt>
                <c:pt idx="409">
                  <c:v>56.175834667738599</c:v>
                </c:pt>
                <c:pt idx="410">
                  <c:v>55.279674435833599</c:v>
                </c:pt>
                <c:pt idx="411">
                  <c:v>54.388261325855495</c:v>
                </c:pt>
                <c:pt idx="412">
                  <c:v>53.501897585597483</c:v>
                </c:pt>
                <c:pt idx="413">
                  <c:v>52.620881696736745</c:v>
                </c:pt>
                <c:pt idx="414">
                  <c:v>51.745507678314723</c:v>
                </c:pt>
                <c:pt idx="415">
                  <c:v>50.876064395120572</c:v>
                </c:pt>
                <c:pt idx="416">
                  <c:v>50.012834876869199</c:v>
                </c:pt>
                <c:pt idx="417">
                  <c:v>49.156095653823201</c:v>
                </c:pt>
                <c:pt idx="418">
                  <c:v>48.306116114213857</c:v>
                </c:pt>
                <c:pt idx="419">
                  <c:v>47.46315788845876</c:v>
                </c:pt>
                <c:pt idx="420">
                  <c:v>46.627474264766199</c:v>
                </c:pt>
                <c:pt idx="421">
                  <c:v>45.799309640269513</c:v>
                </c:pt>
                <c:pt idx="422">
                  <c:v>44.978899011350848</c:v>
                </c:pt>
                <c:pt idx="423">
                  <c:v>44.166467506292747</c:v>
                </c:pt>
                <c:pt idx="424">
                  <c:v>43.362229962894396</c:v>
                </c:pt>
                <c:pt idx="425">
                  <c:v>42.566390553121337</c:v>
                </c:pt>
                <c:pt idx="426">
                  <c:v>41.779142456348247</c:v>
                </c:pt>
                <c:pt idx="427">
                  <c:v>41.000667582215954</c:v>
                </c:pt>
                <c:pt idx="428">
                  <c:v>40.231136343610018</c:v>
                </c:pt>
                <c:pt idx="429">
                  <c:v>39.47070747977677</c:v>
                </c:pt>
                <c:pt idx="430">
                  <c:v>38.719527929139637</c:v>
                </c:pt>
                <c:pt idx="431">
                  <c:v>37.977732750931224</c:v>
                </c:pt>
                <c:pt idx="432">
                  <c:v>37.245445094377921</c:v>
                </c:pt>
                <c:pt idx="433">
                  <c:v>36.522776213802508</c:v>
                </c:pt>
                <c:pt idx="434">
                  <c:v>35.809825527712334</c:v>
                </c:pt>
                <c:pt idx="435">
                  <c:v>35.106680719660126</c:v>
                </c:pt>
                <c:pt idx="436">
                  <c:v>34.413417878435403</c:v>
                </c:pt>
                <c:pt idx="437">
                  <c:v>33.730101674968715</c:v>
                </c:pt>
                <c:pt idx="438">
                  <c:v>33.056785573181664</c:v>
                </c:pt>
                <c:pt idx="439">
                  <c:v>32.393512071912497</c:v>
                </c:pt>
                <c:pt idx="440">
                  <c:v>31.740312974989486</c:v>
                </c:pt>
                <c:pt idx="441">
                  <c:v>31.097209686488213</c:v>
                </c:pt>
                <c:pt idx="442">
                  <c:v>30.464213528219293</c:v>
                </c:pt>
                <c:pt idx="443">
                  <c:v>29.841326076525789</c:v>
                </c:pt>
                <c:pt idx="444">
                  <c:v>29.228539515527522</c:v>
                </c:pt>
                <c:pt idx="445">
                  <c:v>28.625837004035986</c:v>
                </c:pt>
                <c:pt idx="446">
                  <c:v>28.033193053471518</c:v>
                </c:pt>
                <c:pt idx="447">
                  <c:v>27.450573914223007</c:v>
                </c:pt>
                <c:pt idx="448">
                  <c:v>26.877937968040534</c:v>
                </c:pt>
                <c:pt idx="449">
                  <c:v>26.315236124181261</c:v>
                </c:pt>
                <c:pt idx="450">
                  <c:v>25.762412217191667</c:v>
                </c:pt>
                <c:pt idx="451">
                  <c:v>25.219403404359731</c:v>
                </c:pt>
                <c:pt idx="452">
                  <c:v>24.686140561037824</c:v>
                </c:pt>
                <c:pt idx="453">
                  <c:v>24.162548672190866</c:v>
                </c:pt>
                <c:pt idx="454">
                  <c:v>23.648547218688169</c:v>
                </c:pt>
                <c:pt idx="455">
                  <c:v>23.144050557016655</c:v>
                </c:pt>
                <c:pt idx="456">
                  <c:v>22.648968291239409</c:v>
                </c:pt>
                <c:pt idx="457">
                  <c:v>22.163205636176812</c:v>
                </c:pt>
                <c:pt idx="458">
                  <c:v>21.686663770924991</c:v>
                </c:pt>
                <c:pt idx="459">
                  <c:v>21.219240181963745</c:v>
                </c:pt>
                <c:pt idx="460">
                  <c:v>20.760828995227481</c:v>
                </c:pt>
                <c:pt idx="461">
                  <c:v>20.311321296637733</c:v>
                </c:pt>
                <c:pt idx="462">
                  <c:v>19.870605440698654</c:v>
                </c:pt>
                <c:pt idx="463">
                  <c:v>19.438567346864204</c:v>
                </c:pt>
                <c:pt idx="464">
                  <c:v>19.015090783478179</c:v>
                </c:pt>
                <c:pt idx="465">
                  <c:v>18.600057639168288</c:v>
                </c:pt>
                <c:pt idx="466">
                  <c:v>18.193348181661033</c:v>
                </c:pt>
                <c:pt idx="467">
                  <c:v>17.794841304045303</c:v>
                </c:pt>
                <c:pt idx="468">
                  <c:v>17.404414758578781</c:v>
                </c:pt>
                <c:pt idx="469">
                  <c:v>17.021945378185606</c:v>
                </c:pt>
                <c:pt idx="470">
                  <c:v>16.647309285836581</c:v>
                </c:pt>
                <c:pt idx="471">
                  <c:v>16.280382092053721</c:v>
                </c:pt>
                <c:pt idx="472">
                  <c:v>15.921039080804608</c:v>
                </c:pt>
                <c:pt idx="473">
                  <c:v>15.569155384093609</c:v>
                </c:pt>
                <c:pt idx="474">
                  <c:v>15.224606145570974</c:v>
                </c:pt>
                <c:pt idx="475">
                  <c:v>14.887266673509647</c:v>
                </c:pt>
                <c:pt idx="476">
                  <c:v>14.557012583507786</c:v>
                </c:pt>
                <c:pt idx="477">
                  <c:v>14.233719931295116</c:v>
                </c:pt>
                <c:pt idx="478">
                  <c:v>13.917265336020185</c:v>
                </c:pt>
                <c:pt idx="479">
                  <c:v>13.60752609440752</c:v>
                </c:pt>
                <c:pt idx="480">
                  <c:v>13.304380286175098</c:v>
                </c:pt>
                <c:pt idx="481">
                  <c:v>13.007706871099366</c:v>
                </c:pt>
                <c:pt idx="482">
                  <c:v>12.717385778115183</c:v>
                </c:pt>
                <c:pt idx="483">
                  <c:v>12.433297986835099</c:v>
                </c:pt>
                <c:pt idx="484">
                  <c:v>12.155325601862812</c:v>
                </c:pt>
                <c:pt idx="485">
                  <c:v>11.883351920271966</c:v>
                </c:pt>
                <c:pt idx="486">
                  <c:v>11.617261492612275</c:v>
                </c:pt>
                <c:pt idx="487">
                  <c:v>11.356940177793167</c:v>
                </c:pt>
                <c:pt idx="488">
                  <c:v>11.102275192190158</c:v>
                </c:pt>
                <c:pt idx="489">
                  <c:v>10.853155153302103</c:v>
                </c:pt>
                <c:pt idx="490">
                  <c:v>10.609470118282861</c:v>
                </c:pt>
                <c:pt idx="491">
                  <c:v>10.371111617653275</c:v>
                </c:pt>
                <c:pt idx="492">
                  <c:v>10.13797268449129</c:v>
                </c:pt>
                <c:pt idx="493">
                  <c:v>9.909947879386781</c:v>
                </c:pt>
                <c:pt idx="494">
                  <c:v>9.6869333114311882</c:v>
                </c:pt>
                <c:pt idx="495">
                  <c:v>9.4688266555050138</c:v>
                </c:pt>
                <c:pt idx="496">
                  <c:v>9.2555271661117615</c:v>
                </c:pt>
                <c:pt idx="497">
                  <c:v>9.0469356879950684</c:v>
                </c:pt>
                <c:pt idx="498">
                  <c:v>8.8429546637667169</c:v>
                </c:pt>
                <c:pt idx="499">
                  <c:v>8.6434881387578333</c:v>
                </c:pt>
                <c:pt idx="500">
                  <c:v>8.4484417632988222</c:v>
                </c:pt>
                <c:pt idx="501">
                  <c:v>8.2577227926203367</c:v>
                </c:pt>
                <c:pt idx="502">
                  <c:v>8.0712400845576742</c:v>
                </c:pt>
                <c:pt idx="503">
                  <c:v>7.8889040952314566</c:v>
                </c:pt>
                <c:pt idx="504">
                  <c:v>7.7106268728679197</c:v>
                </c:pt>
                <c:pt idx="505">
                  <c:v>7.5363220499114556</c:v>
                </c:pt>
                <c:pt idx="506">
                  <c:v>7.3659048335752928</c:v>
                </c:pt>
                <c:pt idx="507">
                  <c:v>7.1992919949654066</c:v>
                </c:pt>
                <c:pt idx="508">
                  <c:v>7.0364018569063109</c:v>
                </c:pt>
                <c:pt idx="509">
                  <c:v>6.8771542805884369</c:v>
                </c:pt>
                <c:pt idx="510">
                  <c:v>6.7214706511498692</c:v>
                </c:pt>
                <c:pt idx="511">
                  <c:v>6.5692738622980178</c:v>
                </c:pt>
                <c:pt idx="512">
                  <c:v>6.4204883000698807</c:v>
                </c:pt>
                <c:pt idx="513">
                  <c:v>6.2750398258229403</c:v>
                </c:pt>
                <c:pt idx="514">
                  <c:v>6.1328557585434327</c:v>
                </c:pt>
                <c:pt idx="515">
                  <c:v>5.9938648565521166</c:v>
                </c:pt>
                <c:pt idx="516">
                  <c:v>5.8579972986822577</c:v>
                </c:pt>
                <c:pt idx="517">
                  <c:v>5.7251846650001017</c:v>
                </c:pt>
                <c:pt idx="518">
                  <c:v>5.5953599171323347</c:v>
                </c:pt>
                <c:pt idx="519">
                  <c:v>5.4684573782607009</c:v>
                </c:pt>
                <c:pt idx="520">
                  <c:v>5.344412712840219</c:v>
                </c:pt>
                <c:pt idx="521">
                  <c:v>5.2231629060919467</c:v>
                </c:pt>
                <c:pt idx="522">
                  <c:v>5.1046462433195323</c:v>
                </c:pt>
                <c:pt idx="523">
                  <c:v>4.9888022890920851</c:v>
                </c:pt>
                <c:pt idx="524">
                  <c:v>4.8755718663358367</c:v>
                </c:pt>
                <c:pt idx="525">
                  <c:v>4.7648970353715265</c:v>
                </c:pt>
                <c:pt idx="526">
                  <c:v>4.6567210729324851</c:v>
                </c:pt>
                <c:pt idx="527">
                  <c:v>4.5509884511947405</c:v>
                </c:pt>
                <c:pt idx="528">
                  <c:v>4.4476448168495324</c:v>
                </c:pt>
                <c:pt idx="529">
                  <c:v>4.3466369702431598</c:v>
                </c:pt>
                <c:pt idx="530">
                  <c:v>4.2479128446108829</c:v>
                </c:pt>
                <c:pt idx="531">
                  <c:v>4.1514214854249278</c:v>
                </c:pt>
                <c:pt idx="532">
                  <c:v>4.0571130298788258</c:v>
                </c:pt>
                <c:pt idx="533">
                  <c:v>3.9649386865246909</c:v>
                </c:pt>
                <c:pt idx="534">
                  <c:v>3.8748507150815725</c:v>
                </c:pt>
                <c:pt idx="535">
                  <c:v>3.7868024064288179</c:v>
                </c:pt>
                <c:pt idx="536">
                  <c:v>3.7007480627985401</c:v>
                </c:pt>
                <c:pt idx="537">
                  <c:v>3.6166429781787364</c:v>
                </c:pt>
                <c:pt idx="538">
                  <c:v>3.5344434189383285</c:v>
                </c:pt>
                <c:pt idx="539">
                  <c:v>3.4541066046829916</c:v>
                </c:pt>
                <c:pt idx="540">
                  <c:v>3.3755906893508318</c:v>
                </c:pt>
                <c:pt idx="541">
                  <c:v>3.2988547425544166</c:v>
                </c:pt>
              </c:numCache>
            </c:numRef>
          </c:yVal>
          <c:smooth val="1"/>
          <c:extLst>
            <c:ext xmlns:c16="http://schemas.microsoft.com/office/drawing/2014/chart" uri="{C3380CC4-5D6E-409C-BE32-E72D297353CC}">
              <c16:uniqueId val="{00000001-F11A-4C29-9835-786B9CEC5C6A}"/>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DE"/>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DE"/>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11"/>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chart" Target="../charts/chart9.xml"/><Relationship Id="rId2" Type="http://schemas.openxmlformats.org/officeDocument/2006/relationships/image" Target="../media/image4.png"/><Relationship Id="rId1" Type="http://schemas.openxmlformats.org/officeDocument/2006/relationships/chart" Target="../charts/chart5.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9</xdr:col>
      <xdr:colOff>75154</xdr:colOff>
      <xdr:row>45</xdr:row>
      <xdr:rowOff>164353</xdr:rowOff>
    </xdr:from>
    <xdr:to>
      <xdr:col>25</xdr:col>
      <xdr:colOff>478118</xdr:colOff>
      <xdr:row>69</xdr:row>
      <xdr:rowOff>182732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7</xdr:col>
          <xdr:colOff>561975</xdr:colOff>
          <xdr:row>53</xdr:row>
          <xdr:rowOff>0</xdr:rowOff>
        </xdr:from>
        <xdr:to>
          <xdr:col>8</xdr:col>
          <xdr:colOff>9525</xdr:colOff>
          <xdr:row>55</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508019</xdr:colOff>
      <xdr:row>45</xdr:row>
      <xdr:rowOff>55281</xdr:rowOff>
    </xdr:from>
    <xdr:to>
      <xdr:col>16</xdr:col>
      <xdr:colOff>237584</xdr:colOff>
      <xdr:row>47</xdr:row>
      <xdr:rowOff>124011</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710725" y="9453281"/>
          <a:ext cx="954741"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16</xdr:col>
      <xdr:colOff>77712</xdr:colOff>
      <xdr:row>45</xdr:row>
      <xdr:rowOff>64247</xdr:rowOff>
    </xdr:from>
    <xdr:to>
      <xdr:col>17</xdr:col>
      <xdr:colOff>409405</xdr:colOff>
      <xdr:row>47</xdr:row>
      <xdr:rowOff>132978</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9505594" y="9462247"/>
          <a:ext cx="944282" cy="4870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11</a:t>
          </a:fld>
          <a:endParaRPr lang="en-US" sz="2400"/>
        </a:p>
      </xdr:txBody>
    </xdr:sp>
    <xdr:clientData/>
  </xdr:twoCellAnchor>
  <xdr:twoCellAnchor>
    <xdr:from>
      <xdr:col>17</xdr:col>
      <xdr:colOff>152439</xdr:colOff>
      <xdr:row>45</xdr:row>
      <xdr:rowOff>55281</xdr:rowOff>
    </xdr:from>
    <xdr:to>
      <xdr:col>18</xdr:col>
      <xdr:colOff>505051</xdr:colOff>
      <xdr:row>47</xdr:row>
      <xdr:rowOff>124011</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10192910" y="9453281"/>
          <a:ext cx="965200" cy="4870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9</xdr:col>
      <xdr:colOff>49696</xdr:colOff>
      <xdr:row>71</xdr:row>
      <xdr:rowOff>55217</xdr:rowOff>
    </xdr:from>
    <xdr:to>
      <xdr:col>25</xdr:col>
      <xdr:colOff>480392</xdr:colOff>
      <xdr:row>93</xdr:row>
      <xdr:rowOff>82826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118899</xdr:colOff>
      <xdr:row>71</xdr:row>
      <xdr:rowOff>71846</xdr:rowOff>
    </xdr:from>
    <xdr:to>
      <xdr:col>15</xdr:col>
      <xdr:colOff>466899</xdr:colOff>
      <xdr:row>73</xdr:row>
      <xdr:rowOff>79838</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8390464" y="14621629"/>
          <a:ext cx="966435"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307027</xdr:colOff>
      <xdr:row>71</xdr:row>
      <xdr:rowOff>80812</xdr:rowOff>
    </xdr:from>
    <xdr:to>
      <xdr:col>17</xdr:col>
      <xdr:colOff>20285</xdr:colOff>
      <xdr:row>73</xdr:row>
      <xdr:rowOff>88805</xdr:rowOff>
    </xdr:to>
    <xdr:sp macro="" textlink="VIN_nom">
      <xdr:nvSpPr>
        <xdr:cNvPr id="9" name="TextBox 8">
          <a:extLst>
            <a:ext uri="{FF2B5EF4-FFF2-40B4-BE49-F238E27FC236}">
              <a16:creationId xmlns:a16="http://schemas.microsoft.com/office/drawing/2014/main" id="{00000000-0008-0000-0000-000009000000}"/>
            </a:ext>
          </a:extLst>
        </xdr:cNvPr>
        <xdr:cNvSpPr txBox="1"/>
      </xdr:nvSpPr>
      <xdr:spPr>
        <a:xfrm>
          <a:off x="9197027" y="14630595"/>
          <a:ext cx="950128" cy="4883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cs typeface="Calibri"/>
            </a:rPr>
            <a:pPr/>
            <a:t>11</a:t>
          </a:fld>
          <a:endParaRPr lang="en-US" sz="2400"/>
        </a:p>
      </xdr:txBody>
    </xdr:sp>
    <xdr:clientData/>
  </xdr:twoCellAnchor>
  <xdr:twoCellAnchor>
    <xdr:from>
      <xdr:col>16</xdr:col>
      <xdr:colOff>80660</xdr:colOff>
      <xdr:row>71</xdr:row>
      <xdr:rowOff>88411</xdr:rowOff>
    </xdr:from>
    <xdr:to>
      <xdr:col>17</xdr:col>
      <xdr:colOff>433271</xdr:colOff>
      <xdr:row>73</xdr:row>
      <xdr:rowOff>96403</xdr:rowOff>
    </xdr:to>
    <xdr:sp macro="" textlink="">
      <xdr:nvSpPr>
        <xdr:cNvPr id="10" name="TextBox 9">
          <a:extLst>
            <a:ext uri="{FF2B5EF4-FFF2-40B4-BE49-F238E27FC236}">
              <a16:creationId xmlns:a16="http://schemas.microsoft.com/office/drawing/2014/main" id="{00000000-0008-0000-0000-00000A000000}"/>
            </a:ext>
          </a:extLst>
        </xdr:cNvPr>
        <xdr:cNvSpPr txBox="1"/>
      </xdr:nvSpPr>
      <xdr:spPr>
        <a:xfrm>
          <a:off x="9589095" y="14638194"/>
          <a:ext cx="971046" cy="488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mc:AlternateContent xmlns:mc="http://schemas.openxmlformats.org/markup-compatibility/2006">
    <mc:Choice xmlns:a14="http://schemas.microsoft.com/office/drawing/2010/main" Requires="a14">
      <xdr:twoCellAnchor editAs="oneCell">
        <xdr:from>
          <xdr:col>10</xdr:col>
          <xdr:colOff>397695</xdr:colOff>
          <xdr:row>12</xdr:row>
          <xdr:rowOff>58159</xdr:rowOff>
        </xdr:from>
        <xdr:to>
          <xdr:col>25</xdr:col>
          <xdr:colOff>209669</xdr:colOff>
          <xdr:row>35</xdr:row>
          <xdr:rowOff>134695</xdr:rowOff>
        </xdr:to>
        <xdr:pic>
          <xdr:nvPicPr>
            <xdr:cNvPr id="6" name="Picture 5">
              <a:extLst>
                <a:ext uri="{FF2B5EF4-FFF2-40B4-BE49-F238E27FC236}">
                  <a16:creationId xmlns:a16="http://schemas.microsoft.com/office/drawing/2014/main" id="{00000000-0008-0000-0000-000006000000}"/>
                </a:ext>
              </a:extLst>
            </xdr:cNvPr>
            <xdr:cNvPicPr>
              <a:picLocks noChangeAspect="1"/>
              <a:extLst>
                <a:ext uri="{84589F7E-364E-4C9E-8A38-B11213B215E9}">
                  <a14:cameraTool cellRange="SCH" spid="_x0000_s1171"/>
                </a:ext>
              </a:extLst>
            </xdr:cNvPicPr>
          </xdr:nvPicPr>
          <xdr:blipFill>
            <a:blip xmlns:r="http://schemas.openxmlformats.org/officeDocument/2006/relationships" r:embed="rId3"/>
            <a:stretch>
              <a:fillRect/>
            </a:stretch>
          </xdr:blipFill>
          <xdr:spPr>
            <a:xfrm>
              <a:off x="6348019" y="2691541"/>
              <a:ext cx="8750234" cy="4469018"/>
            </a:xfrm>
            <a:prstGeom prst="rect">
              <a:avLst/>
            </a:prstGeom>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10</xdr:col>
      <xdr:colOff>451597</xdr:colOff>
      <xdr:row>179</xdr:row>
      <xdr:rowOff>177800</xdr:rowOff>
    </xdr:from>
    <xdr:to>
      <xdr:col>16</xdr:col>
      <xdr:colOff>350744</xdr:colOff>
      <xdr:row>182</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037047" y="33204150"/>
          <a:ext cx="3810747" cy="4400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57150</xdr:colOff>
          <xdr:row>110</xdr:row>
          <xdr:rowOff>0</xdr:rowOff>
        </xdr:from>
        <xdr:to>
          <xdr:col>13</xdr:col>
          <xdr:colOff>19050</xdr:colOff>
          <xdr:row>112</xdr:row>
          <xdr:rowOff>28575</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9</xdr:col>
      <xdr:colOff>19051</xdr:colOff>
      <xdr:row>149</xdr:row>
      <xdr:rowOff>17931</xdr:rowOff>
    </xdr:from>
    <xdr:to>
      <xdr:col>14</xdr:col>
      <xdr:colOff>583081</xdr:colOff>
      <xdr:row>157</xdr:row>
      <xdr:rowOff>107951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994901" y="27335631"/>
          <a:ext cx="3866030" cy="1563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p>
        <a:p>
          <a:endParaRPr lang="en-US" sz="1100" baseline="0"/>
        </a:p>
        <a:p>
          <a:r>
            <a:rPr lang="en-US" sz="1100" b="1" baseline="0"/>
            <a:t>Includes the effect of slope compensation. To help with the calculations the applicaiton note detailing component selection does not include loop compensation</a:t>
          </a:r>
          <a:endParaRPr lang="en-US" sz="1100" b="1"/>
        </a:p>
      </xdr:txBody>
    </xdr:sp>
    <xdr:clientData/>
  </xdr:twoCellAnchor>
  <xdr:twoCellAnchor>
    <xdr:from>
      <xdr:col>3</xdr:col>
      <xdr:colOff>660400</xdr:colOff>
      <xdr:row>182</xdr:row>
      <xdr:rowOff>165100</xdr:rowOff>
    </xdr:from>
    <xdr:to>
      <xdr:col>9</xdr:col>
      <xdr:colOff>311150</xdr:colOff>
      <xdr:row>186</xdr:row>
      <xdr:rowOff>88900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4794250" y="33928050"/>
          <a:ext cx="549275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Flexible</a:t>
          </a:r>
          <a:r>
            <a:rPr lang="en-US" sz="1100" baseline="0"/>
            <a:t> equations see the MathCad file for these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515248</xdr:colOff>
      <xdr:row>45</xdr:row>
      <xdr:rowOff>69931</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36</xdr:row>
      <xdr:rowOff>8964</xdr:rowOff>
    </xdr:from>
    <xdr:to>
      <xdr:col>11</xdr:col>
      <xdr:colOff>591031</xdr:colOff>
      <xdr:row>44</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53</xdr:row>
      <xdr:rowOff>13855</xdr:rowOff>
    </xdr:from>
    <xdr:to>
      <xdr:col>12</xdr:col>
      <xdr:colOff>83127</xdr:colOff>
      <xdr:row>64</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xdr:from>
      <xdr:col>6</xdr:col>
      <xdr:colOff>507999</xdr:colOff>
      <xdr:row>37</xdr:row>
      <xdr:rowOff>44824</xdr:rowOff>
    </xdr:from>
    <xdr:to>
      <xdr:col>12</xdr:col>
      <xdr:colOff>530411</xdr:colOff>
      <xdr:row>43</xdr:row>
      <xdr:rowOff>164354</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6716058" y="6940177"/>
          <a:ext cx="3697941" cy="1240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Specific</a:t>
          </a:r>
          <a:r>
            <a:rPr lang="en-US" sz="1100" baseline="0"/>
            <a:t> to the LM5123 and LM5152. See datasheet for details</a:t>
          </a:r>
        </a:p>
        <a:p>
          <a:endParaRPr lang="en-US" sz="1100" baseline="0"/>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0</xdr:rowOff>
        </xdr:from>
        <xdr:to>
          <xdr:col>2</xdr:col>
          <xdr:colOff>28575</xdr:colOff>
          <xdr:row>2</xdr:row>
          <xdr:rowOff>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600-000002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28575</xdr:colOff>
          <xdr:row>5</xdr:row>
          <xdr:rowOff>9525</xdr:rowOff>
        </xdr:to>
        <xdr:sp macro="" textlink="">
          <xdr:nvSpPr>
            <xdr:cNvPr id="10243" name="Object 3" hidden="1">
              <a:extLst>
                <a:ext uri="{63B3BB69-23CF-44E3-9099-C40C66FF867C}">
                  <a14:compatExt spid="_x0000_s10243"/>
                </a:ext>
                <a:ext uri="{FF2B5EF4-FFF2-40B4-BE49-F238E27FC236}">
                  <a16:creationId xmlns:a16="http://schemas.microsoft.com/office/drawing/2014/main" id="{00000000-0008-0000-0600-000003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xdr:colOff>
          <xdr:row>7</xdr:row>
          <xdr:rowOff>9525</xdr:rowOff>
        </xdr:to>
        <xdr:sp macro="" textlink="">
          <xdr:nvSpPr>
            <xdr:cNvPr id="10246" name="Object 6" hidden="1">
              <a:extLst>
                <a:ext uri="{63B3BB69-23CF-44E3-9099-C40C66FF867C}">
                  <a14:compatExt spid="_x0000_s10246"/>
                </a:ext>
                <a:ext uri="{FF2B5EF4-FFF2-40B4-BE49-F238E27FC236}">
                  <a16:creationId xmlns:a16="http://schemas.microsoft.com/office/drawing/2014/main" id="{00000000-0008-0000-0600-0000062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5.vml"/><Relationship Id="rId7" Type="http://schemas.openxmlformats.org/officeDocument/2006/relationships/image" Target="../media/image9.e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package" Target="../embeddings/Microsoft_Visio_Drawing1.vsdx"/><Relationship Id="rId5" Type="http://schemas.openxmlformats.org/officeDocument/2006/relationships/image" Target="../media/image8.emf"/><Relationship Id="rId4" Type="http://schemas.openxmlformats.org/officeDocument/2006/relationships/package" Target="../embeddings/Microsoft_Visio_Drawing.vsdx"/><Relationship Id="rId9" Type="http://schemas.openxmlformats.org/officeDocument/2006/relationships/image" Target="../media/image10.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98"/>
  <sheetViews>
    <sheetView tabSelected="1" topLeftCell="A28" zoomScaleNormal="100" workbookViewId="0">
      <selection activeCell="I73" sqref="I73"/>
    </sheetView>
  </sheetViews>
  <sheetFormatPr baseColWidth="10" defaultColWidth="8.85546875" defaultRowHeight="15" x14ac:dyDescent="0.25"/>
  <cols>
    <col min="1" max="6" width="8.85546875" style="91" customWidth="1"/>
    <col min="7" max="7" width="8.85546875" style="131" customWidth="1"/>
    <col min="8" max="8" width="12" style="91" bestFit="1" customWidth="1"/>
    <col min="9" max="9" width="8.28515625" style="91" bestFit="1" customWidth="1"/>
    <col min="10" max="10" width="4.85546875" style="91" customWidth="1"/>
    <col min="11" max="21" width="8.85546875" style="91" customWidth="1"/>
    <col min="22" max="22" width="7.140625" style="91" customWidth="1"/>
    <col min="23" max="26" width="8.85546875" style="91" customWidth="1"/>
    <col min="27" max="27" width="1.85546875" style="132" customWidth="1"/>
    <col min="28" max="16384" width="8.85546875" style="91"/>
  </cols>
  <sheetData>
    <row r="1" spans="1:27" ht="46.7" customHeight="1" x14ac:dyDescent="0.25">
      <c r="A1" s="87"/>
      <c r="B1" s="87"/>
      <c r="C1" s="87"/>
      <c r="D1" s="87"/>
      <c r="E1" s="88" t="s">
        <v>517</v>
      </c>
      <c r="F1" s="87"/>
      <c r="G1" s="89"/>
      <c r="H1" s="87"/>
      <c r="I1" s="87"/>
      <c r="J1" s="87"/>
      <c r="K1" s="87"/>
      <c r="L1" s="87"/>
      <c r="M1" s="87"/>
      <c r="N1" s="87"/>
      <c r="O1" s="87"/>
      <c r="P1" s="87"/>
      <c r="Q1" s="87"/>
      <c r="R1" s="87"/>
      <c r="S1" s="87"/>
      <c r="T1" s="87"/>
      <c r="U1" s="87"/>
      <c r="V1" s="87"/>
      <c r="W1" s="87"/>
      <c r="X1" s="87"/>
      <c r="Y1" s="87"/>
      <c r="Z1" s="87"/>
      <c r="AA1" s="90"/>
    </row>
    <row r="2" spans="1:27" x14ac:dyDescent="0.25">
      <c r="A2" s="92"/>
      <c r="B2" s="92"/>
      <c r="C2" s="92"/>
      <c r="D2" s="92"/>
      <c r="E2" s="92"/>
      <c r="F2" s="92"/>
      <c r="G2" s="93"/>
      <c r="H2" s="92"/>
      <c r="I2" s="92"/>
      <c r="J2" s="92"/>
      <c r="K2" s="92"/>
      <c r="L2" s="92"/>
      <c r="M2" s="92"/>
      <c r="N2" s="92"/>
      <c r="O2" s="92"/>
      <c r="P2" s="92"/>
      <c r="Q2" s="92"/>
      <c r="R2" s="92"/>
      <c r="S2" s="92"/>
      <c r="T2" s="92"/>
      <c r="U2" s="92"/>
      <c r="V2" s="92"/>
      <c r="W2" s="92"/>
      <c r="X2" s="92"/>
      <c r="Y2" s="92"/>
      <c r="Z2" s="92"/>
      <c r="AA2" s="90"/>
    </row>
    <row r="3" spans="1:27" x14ac:dyDescent="0.25">
      <c r="A3" s="94" t="s">
        <v>1</v>
      </c>
      <c r="B3" s="92"/>
      <c r="C3" s="92"/>
      <c r="D3" s="92"/>
      <c r="E3" s="95"/>
      <c r="F3" s="96" t="s">
        <v>2</v>
      </c>
      <c r="G3" s="93"/>
      <c r="H3" s="92"/>
      <c r="I3" s="92"/>
      <c r="J3" s="92"/>
      <c r="K3" s="92"/>
      <c r="L3" s="92"/>
      <c r="M3" s="92"/>
      <c r="N3" s="92"/>
      <c r="O3" s="97" t="s">
        <v>0</v>
      </c>
      <c r="P3" s="92"/>
      <c r="Q3" s="92"/>
      <c r="R3" s="92"/>
      <c r="S3" s="92"/>
      <c r="T3" s="92"/>
      <c r="U3" s="92"/>
      <c r="V3" s="92"/>
      <c r="W3" s="92"/>
      <c r="X3" s="92"/>
      <c r="Y3" s="92"/>
      <c r="Z3" s="92"/>
      <c r="AA3" s="90"/>
    </row>
    <row r="4" spans="1:27" s="101" customFormat="1" x14ac:dyDescent="0.25">
      <c r="A4" s="98"/>
      <c r="B4" s="98"/>
      <c r="C4" s="98"/>
      <c r="D4" s="98"/>
      <c r="E4" s="98"/>
      <c r="F4" s="98"/>
      <c r="G4" s="99"/>
      <c r="H4" s="98"/>
      <c r="I4" s="98"/>
      <c r="J4" s="98"/>
      <c r="K4" s="98"/>
      <c r="L4" s="98"/>
      <c r="M4" s="98"/>
      <c r="N4" s="98"/>
      <c r="O4" s="98"/>
      <c r="P4" s="98"/>
      <c r="Q4" s="98"/>
      <c r="R4" s="98"/>
      <c r="S4" s="98"/>
      <c r="T4" s="98"/>
      <c r="U4" s="98"/>
      <c r="V4" s="98"/>
      <c r="W4" s="98"/>
      <c r="X4" s="98"/>
      <c r="Y4" s="98"/>
      <c r="Z4" s="98"/>
      <c r="AA4" s="100"/>
    </row>
    <row r="5" spans="1:27" x14ac:dyDescent="0.25">
      <c r="A5" s="102"/>
      <c r="B5" s="102"/>
      <c r="C5" s="102"/>
      <c r="D5" s="102"/>
      <c r="E5" s="102"/>
      <c r="F5" s="102"/>
      <c r="G5" s="103"/>
      <c r="H5" s="102"/>
      <c r="I5" s="102"/>
      <c r="J5" s="102"/>
      <c r="K5" s="102"/>
      <c r="L5" s="102"/>
      <c r="M5" s="102"/>
      <c r="N5" s="102"/>
      <c r="O5" s="102" t="s">
        <v>607</v>
      </c>
      <c r="P5" s="104" t="s">
        <v>608</v>
      </c>
      <c r="Q5" s="102"/>
      <c r="R5" s="102"/>
      <c r="S5" s="102"/>
      <c r="T5" s="102"/>
      <c r="U5" s="102"/>
      <c r="V5" s="102"/>
      <c r="W5" s="102"/>
      <c r="X5" s="102"/>
      <c r="Y5" s="102"/>
      <c r="Z5" s="102"/>
      <c r="AA5" s="90"/>
    </row>
    <row r="6" spans="1:27" ht="15.75" thickBot="1" x14ac:dyDescent="0.3">
      <c r="A6" s="117" t="s">
        <v>3</v>
      </c>
      <c r="B6" s="102"/>
      <c r="C6" s="102"/>
      <c r="D6" s="102"/>
      <c r="E6" s="102"/>
      <c r="F6" s="102"/>
      <c r="G6" s="103"/>
      <c r="H6" s="102"/>
      <c r="I6" s="102"/>
      <c r="J6" s="102"/>
      <c r="K6" s="102"/>
      <c r="L6" s="102"/>
      <c r="M6" s="102"/>
      <c r="N6" s="102"/>
      <c r="O6" s="102"/>
      <c r="P6" s="102"/>
      <c r="Q6" s="102"/>
      <c r="R6" s="102"/>
      <c r="S6" s="102"/>
      <c r="T6" s="102"/>
      <c r="U6" s="102"/>
      <c r="V6" s="102"/>
      <c r="W6" s="102"/>
      <c r="X6" s="102"/>
      <c r="Y6" s="102"/>
      <c r="Z6" s="102"/>
      <c r="AA6" s="90"/>
    </row>
    <row r="7" spans="1:27" x14ac:dyDescent="0.25">
      <c r="A7" s="105"/>
      <c r="B7" s="106"/>
      <c r="C7" s="106"/>
      <c r="D7" s="106"/>
      <c r="E7" s="106"/>
      <c r="F7" s="106"/>
      <c r="G7" s="107" t="s">
        <v>4</v>
      </c>
      <c r="H7" s="133">
        <v>11</v>
      </c>
      <c r="I7" s="108" t="s">
        <v>10</v>
      </c>
      <c r="J7" s="102"/>
      <c r="K7" s="102"/>
      <c r="L7" s="102"/>
      <c r="M7" s="102"/>
      <c r="N7" s="102"/>
      <c r="O7" s="102"/>
      <c r="P7" s="102"/>
      <c r="Q7" s="102"/>
      <c r="R7" s="102"/>
      <c r="S7" s="102"/>
      <c r="T7" s="102"/>
      <c r="U7" s="102"/>
      <c r="V7" s="102"/>
      <c r="W7" s="102"/>
      <c r="X7" s="102"/>
      <c r="Y7" s="102"/>
      <c r="Z7" s="102"/>
      <c r="AA7" s="90"/>
    </row>
    <row r="8" spans="1:27" x14ac:dyDescent="0.25">
      <c r="A8" s="109"/>
      <c r="B8" s="102"/>
      <c r="C8" s="102"/>
      <c r="D8" s="102"/>
      <c r="E8" s="102"/>
      <c r="F8" s="102"/>
      <c r="G8" s="110" t="s">
        <v>5</v>
      </c>
      <c r="H8" s="134">
        <v>11</v>
      </c>
      <c r="I8" s="111" t="s">
        <v>10</v>
      </c>
      <c r="J8" s="102"/>
      <c r="K8" s="102"/>
      <c r="L8" s="102"/>
      <c r="M8" s="102"/>
      <c r="N8" s="102"/>
      <c r="O8" s="102"/>
      <c r="P8" s="102"/>
      <c r="Q8" s="102"/>
      <c r="R8" s="102"/>
      <c r="S8" s="102"/>
      <c r="T8" s="102"/>
      <c r="U8" s="102"/>
      <c r="V8" s="102"/>
      <c r="W8" s="102"/>
      <c r="X8" s="102"/>
      <c r="Y8" s="102"/>
      <c r="Z8" s="102"/>
      <c r="AA8" s="90"/>
    </row>
    <row r="9" spans="1:27" x14ac:dyDescent="0.25">
      <c r="A9" s="109"/>
      <c r="B9" s="102"/>
      <c r="C9" s="102"/>
      <c r="D9" s="102"/>
      <c r="E9" s="102"/>
      <c r="F9" s="102"/>
      <c r="G9" s="110" t="s">
        <v>6</v>
      </c>
      <c r="H9" s="134">
        <v>22</v>
      </c>
      <c r="I9" s="111" t="s">
        <v>10</v>
      </c>
      <c r="J9" s="102"/>
      <c r="K9" s="102"/>
      <c r="L9" s="102"/>
      <c r="M9" s="102"/>
      <c r="N9" s="102"/>
      <c r="O9" s="102"/>
      <c r="P9" s="102"/>
      <c r="Q9" s="102"/>
      <c r="R9" s="102"/>
      <c r="S9" s="102"/>
      <c r="T9" s="102"/>
      <c r="U9" s="102"/>
      <c r="V9" s="102"/>
      <c r="W9" s="102"/>
      <c r="X9" s="102"/>
      <c r="Y9" s="102"/>
      <c r="Z9" s="102"/>
      <c r="AA9" s="90"/>
    </row>
    <row r="10" spans="1:27" x14ac:dyDescent="0.25">
      <c r="A10" s="109"/>
      <c r="B10" s="102"/>
      <c r="C10" s="102"/>
      <c r="D10" s="102"/>
      <c r="E10" s="102"/>
      <c r="F10" s="102"/>
      <c r="G10" s="110" t="s">
        <v>7</v>
      </c>
      <c r="H10" s="134">
        <v>53.5</v>
      </c>
      <c r="I10" s="111" t="s">
        <v>10</v>
      </c>
      <c r="J10" s="102"/>
      <c r="K10" s="102"/>
      <c r="L10" s="102"/>
      <c r="M10" s="102"/>
      <c r="N10" s="102"/>
      <c r="O10" s="102"/>
      <c r="P10" s="102"/>
      <c r="Q10" s="102"/>
      <c r="R10" s="102"/>
      <c r="S10" s="102"/>
      <c r="T10" s="102"/>
      <c r="U10" s="102"/>
      <c r="V10" s="102"/>
      <c r="W10" s="102"/>
      <c r="X10" s="102"/>
      <c r="Y10" s="102"/>
      <c r="Z10" s="102"/>
      <c r="AA10" s="90"/>
    </row>
    <row r="11" spans="1:27" x14ac:dyDescent="0.25">
      <c r="A11" s="109"/>
      <c r="B11" s="102"/>
      <c r="C11" s="102"/>
      <c r="D11" s="102"/>
      <c r="E11" s="102"/>
      <c r="F11" s="102"/>
      <c r="G11" s="110" t="s">
        <v>8</v>
      </c>
      <c r="H11" s="210">
        <v>6</v>
      </c>
      <c r="I11" s="111" t="s">
        <v>11</v>
      </c>
      <c r="J11" s="102"/>
      <c r="K11" s="102"/>
      <c r="L11" s="102"/>
      <c r="M11" s="102"/>
      <c r="N11" s="102"/>
      <c r="O11" s="102"/>
      <c r="P11" s="102"/>
      <c r="Q11" s="102"/>
      <c r="R11" s="102"/>
      <c r="S11" s="102"/>
      <c r="T11" s="102"/>
      <c r="U11" s="102"/>
      <c r="V11" s="102"/>
      <c r="W11" s="102"/>
      <c r="X11" s="102"/>
      <c r="Y11" s="102"/>
      <c r="Z11" s="102"/>
      <c r="AA11" s="90"/>
    </row>
    <row r="12" spans="1:27" x14ac:dyDescent="0.25">
      <c r="A12" s="109"/>
      <c r="B12" s="102"/>
      <c r="C12" s="102"/>
      <c r="D12" s="102"/>
      <c r="E12" s="102"/>
      <c r="F12" s="102"/>
      <c r="G12" s="110" t="s">
        <v>521</v>
      </c>
      <c r="H12" s="211" t="s">
        <v>609</v>
      </c>
      <c r="I12" s="212"/>
      <c r="J12" s="102"/>
      <c r="K12" s="102"/>
      <c r="L12" s="102"/>
      <c r="M12" s="102"/>
      <c r="N12" s="102"/>
      <c r="O12" s="102"/>
      <c r="P12" s="102"/>
      <c r="Q12" s="102"/>
      <c r="R12" s="102"/>
      <c r="S12" s="102"/>
      <c r="T12" s="102"/>
      <c r="U12" s="102"/>
      <c r="V12" s="102"/>
      <c r="W12" s="102"/>
      <c r="X12" s="102"/>
      <c r="Y12" s="102"/>
      <c r="Z12" s="102"/>
      <c r="AA12" s="90"/>
    </row>
    <row r="13" spans="1:27" x14ac:dyDescent="0.25">
      <c r="A13" s="109"/>
      <c r="B13" s="102"/>
      <c r="C13" s="102"/>
      <c r="D13" s="102"/>
      <c r="E13" s="102"/>
      <c r="F13" s="102"/>
      <c r="G13" s="110" t="s">
        <v>9</v>
      </c>
      <c r="H13" s="134">
        <v>1000</v>
      </c>
      <c r="I13" s="111" t="s">
        <v>12</v>
      </c>
      <c r="J13" s="102"/>
      <c r="K13" s="102"/>
      <c r="L13" s="102"/>
      <c r="M13" s="102"/>
      <c r="N13" s="102"/>
      <c r="O13" s="102"/>
      <c r="P13" s="102"/>
      <c r="Q13" s="102"/>
      <c r="R13" s="102"/>
      <c r="S13" s="102"/>
      <c r="T13" s="102"/>
      <c r="U13" s="102"/>
      <c r="V13" s="102"/>
      <c r="W13" s="102"/>
      <c r="X13" s="102"/>
      <c r="Y13" s="102"/>
      <c r="Z13" s="102"/>
      <c r="AA13" s="90"/>
    </row>
    <row r="14" spans="1:27" x14ac:dyDescent="0.25">
      <c r="A14" s="109"/>
      <c r="B14" s="102"/>
      <c r="C14" s="102"/>
      <c r="D14" s="102"/>
      <c r="E14" s="102"/>
      <c r="F14" s="102"/>
      <c r="G14" s="110" t="s">
        <v>70</v>
      </c>
      <c r="H14" s="135">
        <f>RT/1000</f>
        <v>21.145</v>
      </c>
      <c r="I14" s="111" t="s">
        <v>71</v>
      </c>
      <c r="J14" s="102"/>
      <c r="K14" s="102"/>
      <c r="L14" s="102"/>
      <c r="M14" s="102"/>
      <c r="N14" s="102"/>
      <c r="O14" s="102"/>
      <c r="P14" s="102"/>
      <c r="Q14" s="102"/>
      <c r="R14" s="102"/>
      <c r="S14" s="102"/>
      <c r="T14" s="102"/>
      <c r="U14" s="102"/>
      <c r="V14" s="102"/>
      <c r="W14" s="102"/>
      <c r="X14" s="102"/>
      <c r="Y14" s="102"/>
      <c r="Z14" s="102"/>
      <c r="AA14" s="90"/>
    </row>
    <row r="15" spans="1:27" x14ac:dyDescent="0.25">
      <c r="A15" s="109"/>
      <c r="B15" s="102"/>
      <c r="C15" s="102"/>
      <c r="D15" s="102"/>
      <c r="E15" s="102"/>
      <c r="F15" s="102"/>
      <c r="G15" s="110" t="s">
        <v>14</v>
      </c>
      <c r="H15" s="163">
        <f>POUT</f>
        <v>321</v>
      </c>
      <c r="I15" s="111" t="s">
        <v>38</v>
      </c>
      <c r="J15" s="102"/>
      <c r="K15" s="102"/>
      <c r="L15" s="102"/>
      <c r="M15" s="102"/>
      <c r="N15" s="102"/>
      <c r="O15" s="102"/>
      <c r="P15" s="102"/>
      <c r="Q15" s="102"/>
      <c r="R15" s="102"/>
      <c r="S15" s="102"/>
      <c r="T15" s="102"/>
      <c r="U15" s="102"/>
      <c r="V15" s="102"/>
      <c r="W15" s="102"/>
      <c r="X15" s="102"/>
      <c r="Y15" s="102"/>
      <c r="Z15" s="102"/>
      <c r="AA15" s="90"/>
    </row>
    <row r="16" spans="1:27" x14ac:dyDescent="0.25">
      <c r="A16" s="112"/>
      <c r="B16" s="113"/>
      <c r="C16" s="113"/>
      <c r="D16" s="113"/>
      <c r="E16" s="113"/>
      <c r="F16" s="102"/>
      <c r="G16" s="114" t="s">
        <v>516</v>
      </c>
      <c r="H16" s="163">
        <f>Dc_max_IC*100</f>
        <v>88</v>
      </c>
      <c r="I16" s="111" t="s">
        <v>13</v>
      </c>
      <c r="J16" s="102"/>
      <c r="K16" s="102"/>
      <c r="L16" s="102"/>
      <c r="M16" s="102"/>
      <c r="N16" s="102"/>
      <c r="O16" s="102"/>
      <c r="P16" s="102"/>
      <c r="Q16" s="102"/>
      <c r="R16" s="102"/>
      <c r="S16" s="102"/>
      <c r="T16" s="102"/>
      <c r="U16" s="102"/>
      <c r="V16" s="102"/>
      <c r="W16" s="102"/>
      <c r="X16" s="102"/>
      <c r="Y16" s="102"/>
      <c r="Z16" s="102"/>
      <c r="AA16" s="90"/>
    </row>
    <row r="17" spans="1:27" ht="15.75" thickBot="1" x14ac:dyDescent="0.3">
      <c r="A17" s="161"/>
      <c r="B17" s="162"/>
      <c r="C17" s="162"/>
      <c r="D17" s="162"/>
      <c r="E17" s="162"/>
      <c r="F17" s="115"/>
      <c r="G17" s="204" t="s">
        <v>414</v>
      </c>
      <c r="H17" s="205">
        <f>Variable_Management!B22*100</f>
        <v>79.43925233644859</v>
      </c>
      <c r="I17" s="116" t="s">
        <v>13</v>
      </c>
      <c r="J17" s="102"/>
      <c r="K17" s="102"/>
      <c r="L17" s="102"/>
      <c r="M17" s="102"/>
      <c r="N17" s="102"/>
      <c r="O17" s="102"/>
      <c r="P17" s="102"/>
      <c r="Q17" s="102"/>
      <c r="R17" s="102"/>
      <c r="S17" s="102"/>
      <c r="T17" s="102"/>
      <c r="U17" s="102"/>
      <c r="V17" s="102"/>
      <c r="W17" s="102"/>
      <c r="X17" s="102"/>
      <c r="Y17" s="102"/>
      <c r="Z17" s="102"/>
      <c r="AA17" s="90"/>
    </row>
    <row r="18" spans="1:27" x14ac:dyDescent="0.25">
      <c r="A18" s="113"/>
      <c r="B18" s="113"/>
      <c r="C18" s="113"/>
      <c r="D18" s="113"/>
      <c r="E18" s="113"/>
      <c r="F18" s="102"/>
      <c r="G18" s="103"/>
      <c r="H18" s="102"/>
      <c r="I18" s="102"/>
      <c r="J18" s="102"/>
      <c r="K18" s="102"/>
      <c r="L18" s="102"/>
      <c r="M18" s="102"/>
      <c r="N18" s="102"/>
      <c r="O18" s="102"/>
      <c r="P18" s="102"/>
      <c r="Q18" s="102"/>
      <c r="R18" s="102"/>
      <c r="S18" s="102"/>
      <c r="T18" s="102"/>
      <c r="U18" s="102"/>
      <c r="V18" s="102"/>
      <c r="W18" s="102"/>
      <c r="X18" s="102"/>
      <c r="Y18" s="102"/>
      <c r="Z18" s="102"/>
      <c r="AA18" s="90"/>
    </row>
    <row r="19" spans="1:27" ht="15.75" thickBot="1" x14ac:dyDescent="0.3">
      <c r="A19" s="117" t="s">
        <v>72</v>
      </c>
      <c r="B19" s="113"/>
      <c r="C19" s="113"/>
      <c r="D19" s="113"/>
      <c r="E19" s="113"/>
      <c r="F19" s="102"/>
      <c r="G19" s="103"/>
      <c r="H19" s="102"/>
      <c r="I19" s="102"/>
      <c r="J19" s="102"/>
      <c r="K19" s="102"/>
      <c r="L19" s="102"/>
      <c r="M19" s="102"/>
      <c r="N19" s="102"/>
      <c r="O19" s="102"/>
      <c r="P19" s="102"/>
      <c r="Q19" s="102"/>
      <c r="R19" s="102"/>
      <c r="S19" s="102"/>
      <c r="T19" s="102"/>
      <c r="U19" s="102"/>
      <c r="V19" s="102"/>
      <c r="W19" s="102"/>
      <c r="X19" s="102"/>
      <c r="Y19" s="102"/>
      <c r="Z19" s="102"/>
      <c r="AA19" s="90"/>
    </row>
    <row r="20" spans="1:27" ht="18" x14ac:dyDescent="0.35">
      <c r="A20" s="125"/>
      <c r="B20" s="118"/>
      <c r="C20" s="118"/>
      <c r="D20" s="118"/>
      <c r="E20" s="118"/>
      <c r="F20" s="106"/>
      <c r="G20" s="124" t="s">
        <v>524</v>
      </c>
      <c r="H20" s="157" t="str">
        <f>CHOOSE(Variable_Management!B25, "DCM","CCM")</f>
        <v>CCM</v>
      </c>
      <c r="I20" s="108"/>
      <c r="J20" s="102"/>
      <c r="K20" s="102"/>
      <c r="L20" s="102"/>
      <c r="M20" s="102"/>
      <c r="N20" s="102"/>
      <c r="O20" s="102"/>
      <c r="P20" s="102"/>
      <c r="Q20" s="102"/>
      <c r="R20" s="102"/>
      <c r="S20" s="102"/>
      <c r="T20" s="102"/>
      <c r="U20" s="102"/>
      <c r="V20" s="102"/>
      <c r="W20" s="102"/>
      <c r="X20" s="102"/>
      <c r="Y20" s="102"/>
      <c r="Z20" s="102"/>
      <c r="AA20" s="90"/>
    </row>
    <row r="21" spans="1:27" x14ac:dyDescent="0.25">
      <c r="A21" s="112"/>
      <c r="B21" s="113"/>
      <c r="C21" s="113"/>
      <c r="D21" s="113"/>
      <c r="E21" s="113"/>
      <c r="F21" s="102"/>
      <c r="G21" s="110" t="str">
        <f>CHOOSE(Variable_Management!B25,"Maximum duty cycle at the minimum supply voltage","Desired Maximum Inductor Current Ripple Ratio")</f>
        <v>Desired Maximum Inductor Current Ripple Ratio</v>
      </c>
      <c r="H21" s="134">
        <v>60</v>
      </c>
      <c r="I21" s="111" t="s">
        <v>13</v>
      </c>
      <c r="J21" s="102"/>
      <c r="K21" s="102"/>
      <c r="L21" s="102"/>
      <c r="M21" s="102"/>
      <c r="N21" s="102"/>
      <c r="O21" s="102"/>
      <c r="P21" s="102"/>
      <c r="Q21" s="102"/>
      <c r="R21" s="102"/>
      <c r="S21" s="102"/>
      <c r="T21" s="102"/>
      <c r="U21" s="102"/>
      <c r="V21" s="102"/>
      <c r="W21" s="102"/>
      <c r="X21" s="102"/>
      <c r="Y21" s="102"/>
      <c r="Z21" s="102"/>
      <c r="AA21" s="90"/>
    </row>
    <row r="22" spans="1:27" x14ac:dyDescent="0.25">
      <c r="A22" s="109"/>
      <c r="B22" s="102"/>
      <c r="C22" s="102"/>
      <c r="D22" s="102"/>
      <c r="E22" s="102"/>
      <c r="F22" s="102"/>
      <c r="G22" s="110" t="s">
        <v>390</v>
      </c>
      <c r="H22" s="137">
        <f>CHOOSE(Variable_Management!B25,Variable_Management!B45*10^9,Variable_Management!B45*10^6)</f>
        <v>1.4796052056948212</v>
      </c>
      <c r="I22" s="111" t="str">
        <f>CHOOSE(Variable_Management!B25,"nH","uH")</f>
        <v>uH</v>
      </c>
      <c r="J22" s="102"/>
      <c r="K22" s="102"/>
      <c r="L22" s="102"/>
      <c r="M22" s="102"/>
      <c r="N22" s="102"/>
      <c r="O22" s="102"/>
      <c r="P22" s="102"/>
      <c r="Q22" s="102"/>
      <c r="R22" s="102"/>
      <c r="S22" s="102"/>
      <c r="T22" s="102"/>
      <c r="U22" s="102"/>
      <c r="V22" s="102"/>
      <c r="W22" s="102"/>
      <c r="X22" s="102"/>
      <c r="Y22" s="102"/>
      <c r="Z22" s="102"/>
      <c r="AA22" s="90"/>
    </row>
    <row r="23" spans="1:27" x14ac:dyDescent="0.25">
      <c r="A23" s="109"/>
      <c r="B23" s="102"/>
      <c r="C23" s="102"/>
      <c r="D23" s="102"/>
      <c r="E23" s="102"/>
      <c r="F23" s="102"/>
      <c r="G23" s="110" t="s">
        <v>391</v>
      </c>
      <c r="H23" s="134">
        <v>1.5</v>
      </c>
      <c r="I23" s="111" t="str">
        <f>CHOOSE(Variable_Management!B25,"nH","uH")</f>
        <v>uH</v>
      </c>
      <c r="J23" s="102"/>
      <c r="K23" s="102"/>
      <c r="L23" s="102"/>
      <c r="M23" s="102"/>
      <c r="N23" s="102"/>
      <c r="O23" s="102"/>
      <c r="P23" s="102"/>
      <c r="Q23" s="102"/>
      <c r="R23" s="102"/>
      <c r="S23" s="102"/>
      <c r="T23" s="102"/>
      <c r="U23" s="102"/>
      <c r="V23" s="102"/>
      <c r="W23" s="102"/>
      <c r="X23" s="102"/>
      <c r="Y23" s="102"/>
      <c r="Z23" s="102"/>
      <c r="AA23" s="90"/>
    </row>
    <row r="24" spans="1:27" x14ac:dyDescent="0.25">
      <c r="A24" s="109"/>
      <c r="B24" s="102"/>
      <c r="C24" s="102"/>
      <c r="D24" s="102"/>
      <c r="E24" s="102"/>
      <c r="F24" s="102"/>
      <c r="G24" s="110" t="s">
        <v>76</v>
      </c>
      <c r="H24" s="134">
        <v>2.2999999999999998</v>
      </c>
      <c r="I24" s="111" t="s">
        <v>92</v>
      </c>
      <c r="J24" s="102"/>
      <c r="K24" s="102"/>
      <c r="L24" s="102"/>
      <c r="M24" s="102"/>
      <c r="N24" s="102"/>
      <c r="O24" s="102"/>
      <c r="P24" s="102"/>
      <c r="Q24" s="102"/>
      <c r="R24" s="102"/>
      <c r="S24" s="102"/>
      <c r="T24" s="102"/>
      <c r="U24" s="102"/>
      <c r="V24" s="102"/>
      <c r="W24" s="102"/>
      <c r="X24" s="102"/>
      <c r="Y24" s="102"/>
      <c r="Z24" s="102"/>
      <c r="AA24" s="90"/>
    </row>
    <row r="25" spans="1:27" ht="15.75" thickBot="1" x14ac:dyDescent="0.3">
      <c r="A25" s="119"/>
      <c r="B25" s="115"/>
      <c r="C25" s="115"/>
      <c r="D25" s="115"/>
      <c r="E25" s="115"/>
      <c r="F25" s="115"/>
      <c r="G25" s="120" t="s">
        <v>93</v>
      </c>
      <c r="H25" s="138">
        <f>ILp_VINmin</f>
        <v>32.094590767487965</v>
      </c>
      <c r="I25" s="116" t="s">
        <v>11</v>
      </c>
      <c r="J25" s="102"/>
      <c r="K25" s="102"/>
      <c r="L25" s="102"/>
      <c r="M25" s="102"/>
      <c r="N25" s="102"/>
      <c r="O25" s="102"/>
      <c r="P25" s="102"/>
      <c r="Q25" s="102"/>
      <c r="R25" s="102"/>
      <c r="S25" s="102"/>
      <c r="T25" s="102"/>
      <c r="U25" s="102"/>
      <c r="V25" s="102"/>
      <c r="W25" s="102"/>
      <c r="X25" s="102"/>
      <c r="Y25" s="102"/>
      <c r="Z25" s="102"/>
      <c r="AA25" s="90"/>
    </row>
    <row r="26" spans="1:27" x14ac:dyDescent="0.25">
      <c r="A26" s="102"/>
      <c r="B26" s="102"/>
      <c r="C26" s="102"/>
      <c r="D26" s="102"/>
      <c r="E26" s="102"/>
      <c r="F26" s="102"/>
      <c r="G26" s="103"/>
      <c r="H26" s="102"/>
      <c r="I26" s="102"/>
      <c r="J26" s="102"/>
      <c r="K26" s="102"/>
      <c r="L26" s="102"/>
      <c r="M26" s="102"/>
      <c r="N26" s="102"/>
      <c r="O26" s="102"/>
      <c r="P26" s="102"/>
      <c r="Q26" s="102"/>
      <c r="R26" s="102"/>
      <c r="S26" s="102"/>
      <c r="T26" s="102"/>
      <c r="U26" s="102"/>
      <c r="V26" s="102"/>
      <c r="W26" s="102"/>
      <c r="X26" s="102"/>
      <c r="Y26" s="102"/>
      <c r="Z26" s="102"/>
      <c r="AA26" s="90"/>
    </row>
    <row r="27" spans="1:27" ht="15.75" thickBot="1" x14ac:dyDescent="0.3">
      <c r="A27" s="117" t="s">
        <v>112</v>
      </c>
      <c r="B27" s="102"/>
      <c r="C27" s="102"/>
      <c r="D27" s="102"/>
      <c r="E27" s="102"/>
      <c r="F27" s="102"/>
      <c r="G27" s="103"/>
      <c r="H27" s="102"/>
      <c r="I27" s="102"/>
      <c r="J27" s="102"/>
      <c r="K27" s="102"/>
      <c r="L27" s="102"/>
      <c r="M27" s="102"/>
      <c r="N27" s="102"/>
      <c r="O27" s="102"/>
      <c r="P27" s="102"/>
      <c r="Q27" s="102"/>
      <c r="R27" s="102"/>
      <c r="S27" s="102"/>
      <c r="T27" s="102"/>
      <c r="U27" s="102"/>
      <c r="V27" s="102"/>
      <c r="W27" s="102"/>
      <c r="X27" s="102"/>
      <c r="Y27" s="102"/>
      <c r="Z27" s="102"/>
      <c r="AA27" s="90"/>
    </row>
    <row r="28" spans="1:27" x14ac:dyDescent="0.25">
      <c r="A28" s="105"/>
      <c r="B28" s="106"/>
      <c r="C28" s="106"/>
      <c r="D28" s="106"/>
      <c r="E28" s="106"/>
      <c r="F28" s="106"/>
      <c r="G28" s="107" t="s">
        <v>415</v>
      </c>
      <c r="H28" s="133">
        <v>30</v>
      </c>
      <c r="I28" s="108" t="s">
        <v>13</v>
      </c>
      <c r="J28" s="102"/>
      <c r="K28" s="102"/>
      <c r="L28" s="102"/>
      <c r="M28" s="102"/>
      <c r="N28" s="102"/>
      <c r="O28" s="102"/>
      <c r="P28" s="102"/>
      <c r="Q28" s="102"/>
      <c r="R28" s="102"/>
      <c r="S28" s="102"/>
      <c r="T28" s="102"/>
      <c r="U28" s="102"/>
      <c r="V28" s="102"/>
      <c r="W28" s="102"/>
      <c r="X28" s="102"/>
      <c r="Y28" s="102"/>
      <c r="Z28" s="102"/>
      <c r="AA28" s="90"/>
    </row>
    <row r="29" spans="1:27" ht="18" x14ac:dyDescent="0.35">
      <c r="A29" s="109"/>
      <c r="B29" s="102"/>
      <c r="C29" s="102"/>
      <c r="D29" s="102"/>
      <c r="E29" s="102"/>
      <c r="F29" s="102"/>
      <c r="G29" s="103" t="s">
        <v>170</v>
      </c>
      <c r="H29" s="135">
        <f>Ipk_selected</f>
        <v>43.719618715437704</v>
      </c>
      <c r="I29" s="111" t="s">
        <v>11</v>
      </c>
      <c r="J29" s="102"/>
      <c r="K29" s="102"/>
      <c r="L29" s="102"/>
      <c r="M29" s="102"/>
      <c r="N29" s="102"/>
      <c r="O29" s="102"/>
      <c r="P29" s="102"/>
      <c r="Q29" s="102"/>
      <c r="R29" s="102"/>
      <c r="S29" s="102"/>
      <c r="T29" s="102"/>
      <c r="U29" s="102"/>
      <c r="V29" s="102"/>
      <c r="W29" s="102"/>
      <c r="X29" s="102"/>
      <c r="Y29" s="102"/>
      <c r="Z29" s="102"/>
      <c r="AA29" s="90"/>
    </row>
    <row r="30" spans="1:27" ht="18" x14ac:dyDescent="0.35">
      <c r="A30" s="109"/>
      <c r="B30" s="102"/>
      <c r="C30" s="102"/>
      <c r="D30" s="102"/>
      <c r="E30" s="102"/>
      <c r="F30" s="102"/>
      <c r="G30" s="103" t="s">
        <v>418</v>
      </c>
      <c r="H30" s="135">
        <f>Variable_Management!B87*1000</f>
        <v>1.372381593502177</v>
      </c>
      <c r="I30" s="111" t="s">
        <v>92</v>
      </c>
      <c r="J30" s="102"/>
      <c r="K30" s="102"/>
      <c r="L30" s="102"/>
      <c r="M30" s="102"/>
      <c r="N30" s="102"/>
      <c r="O30" s="102"/>
      <c r="P30" s="102"/>
      <c r="Q30" s="102"/>
      <c r="R30" s="102"/>
      <c r="S30" s="102"/>
      <c r="T30" s="102"/>
      <c r="U30" s="102"/>
      <c r="V30" s="102"/>
      <c r="W30" s="102"/>
      <c r="X30" s="102"/>
      <c r="Y30" s="102"/>
      <c r="Z30" s="102"/>
      <c r="AA30" s="90"/>
    </row>
    <row r="31" spans="1:27" ht="18" x14ac:dyDescent="0.35">
      <c r="A31" s="109"/>
      <c r="B31" s="102"/>
      <c r="C31" s="102"/>
      <c r="D31" s="102"/>
      <c r="E31" s="102"/>
      <c r="F31" s="102"/>
      <c r="G31" s="103" t="s">
        <v>419</v>
      </c>
      <c r="H31" s="134">
        <v>1.5</v>
      </c>
      <c r="I31" s="111" t="s">
        <v>92</v>
      </c>
      <c r="J31" s="102"/>
      <c r="K31" s="102"/>
      <c r="L31" s="102"/>
      <c r="M31" s="102"/>
      <c r="N31" s="102"/>
      <c r="O31" s="102"/>
      <c r="P31" s="102"/>
      <c r="Q31" s="102"/>
      <c r="R31" s="102"/>
      <c r="S31" s="102"/>
      <c r="T31" s="102"/>
      <c r="U31" s="102"/>
      <c r="V31" s="102"/>
      <c r="W31" s="102"/>
      <c r="X31" s="102"/>
      <c r="Y31" s="102"/>
      <c r="Z31" s="102"/>
      <c r="AA31" s="90"/>
    </row>
    <row r="32" spans="1:27" ht="15.75" thickBot="1" x14ac:dyDescent="0.3">
      <c r="A32" s="119"/>
      <c r="B32" s="115"/>
      <c r="C32" s="115"/>
      <c r="D32" s="115"/>
      <c r="E32" s="115"/>
      <c r="F32" s="115"/>
      <c r="G32" s="122" t="s">
        <v>143</v>
      </c>
      <c r="H32" s="139">
        <f>IL_pk_max</f>
        <v>40</v>
      </c>
      <c r="I32" s="123" t="s">
        <v>11</v>
      </c>
      <c r="J32" s="102"/>
      <c r="K32" s="102"/>
      <c r="L32" s="102"/>
      <c r="M32" s="102"/>
      <c r="N32" s="102"/>
      <c r="O32" s="102"/>
      <c r="P32" s="102"/>
      <c r="Q32" s="102"/>
      <c r="R32" s="102"/>
      <c r="S32" s="102"/>
      <c r="T32" s="102"/>
      <c r="U32" s="102"/>
      <c r="V32" s="102"/>
      <c r="W32" s="102"/>
      <c r="X32" s="102"/>
      <c r="Y32" s="102"/>
      <c r="Z32" s="102"/>
      <c r="AA32" s="90"/>
    </row>
    <row r="33" spans="1:27" x14ac:dyDescent="0.25">
      <c r="A33" s="102"/>
      <c r="B33" s="102"/>
      <c r="C33" s="102"/>
      <c r="D33" s="102"/>
      <c r="E33" s="102"/>
      <c r="F33" s="102"/>
      <c r="G33" s="103"/>
      <c r="H33" s="102"/>
      <c r="I33" s="102"/>
      <c r="J33" s="102"/>
      <c r="K33" s="102"/>
      <c r="L33" s="102"/>
      <c r="M33" s="102"/>
      <c r="N33" s="102"/>
      <c r="O33" s="102"/>
      <c r="P33" s="102"/>
      <c r="Q33" s="102"/>
      <c r="R33" s="102"/>
      <c r="S33" s="102"/>
      <c r="T33" s="102"/>
      <c r="U33" s="102"/>
      <c r="V33" s="102"/>
      <c r="W33" s="102"/>
      <c r="X33" s="102"/>
      <c r="Y33" s="102"/>
      <c r="Z33" s="102"/>
      <c r="AA33" s="90"/>
    </row>
    <row r="34" spans="1:27" ht="15.75" thickBot="1" x14ac:dyDescent="0.3">
      <c r="A34" s="117" t="s">
        <v>154</v>
      </c>
      <c r="B34" s="102"/>
      <c r="C34" s="102"/>
      <c r="D34" s="102"/>
      <c r="E34" s="102"/>
      <c r="F34" s="102"/>
      <c r="G34" s="103"/>
      <c r="H34" s="102"/>
      <c r="I34" s="102"/>
      <c r="J34" s="102"/>
      <c r="K34" s="102"/>
      <c r="L34" s="102"/>
      <c r="M34" s="102"/>
      <c r="N34" s="102"/>
      <c r="O34" s="102"/>
      <c r="P34" s="102"/>
      <c r="Q34" s="102"/>
      <c r="R34" s="102"/>
      <c r="S34" s="102"/>
      <c r="T34" s="102"/>
      <c r="U34" s="102"/>
      <c r="V34" s="102"/>
      <c r="W34" s="102"/>
      <c r="X34" s="102"/>
      <c r="Y34" s="102"/>
      <c r="Z34" s="102"/>
      <c r="AA34" s="90"/>
    </row>
    <row r="35" spans="1:27" ht="18" x14ac:dyDescent="0.35">
      <c r="A35" s="105"/>
      <c r="B35" s="106"/>
      <c r="C35" s="106"/>
      <c r="D35" s="106"/>
      <c r="E35" s="106"/>
      <c r="F35" s="106"/>
      <c r="G35" s="124" t="s">
        <v>451</v>
      </c>
      <c r="H35" s="133">
        <v>50</v>
      </c>
      <c r="I35" s="108" t="s">
        <v>155</v>
      </c>
      <c r="J35" s="102"/>
      <c r="K35" s="102"/>
      <c r="L35" s="102"/>
      <c r="M35" s="102"/>
      <c r="N35" s="102"/>
      <c r="O35" s="102"/>
      <c r="P35" s="102"/>
      <c r="Q35" s="102"/>
      <c r="R35" s="102"/>
      <c r="S35" s="102"/>
      <c r="T35" s="102"/>
      <c r="U35" s="102"/>
      <c r="V35" s="102"/>
      <c r="W35" s="102"/>
      <c r="X35" s="102"/>
      <c r="Y35" s="102"/>
      <c r="Z35" s="102"/>
      <c r="AA35" s="90"/>
    </row>
    <row r="36" spans="1:27" x14ac:dyDescent="0.25">
      <c r="A36" s="109"/>
      <c r="B36" s="102"/>
      <c r="C36" s="102"/>
      <c r="D36" s="102"/>
      <c r="E36" s="102"/>
      <c r="F36" s="102"/>
      <c r="G36" s="103" t="s">
        <v>156</v>
      </c>
      <c r="H36" s="135">
        <f>Cout_min*10^6</f>
        <v>1193.8016528925621</v>
      </c>
      <c r="I36" s="111" t="s">
        <v>157</v>
      </c>
      <c r="J36" s="102"/>
      <c r="K36" s="102"/>
      <c r="L36" s="102"/>
      <c r="M36" s="102"/>
      <c r="N36" s="102"/>
      <c r="O36" s="102"/>
      <c r="P36" s="102"/>
      <c r="Q36" s="102"/>
      <c r="R36" s="102"/>
      <c r="S36" s="102"/>
      <c r="T36" s="102"/>
      <c r="U36" s="102"/>
      <c r="V36" s="102"/>
      <c r="W36" s="102"/>
      <c r="X36" s="102"/>
      <c r="Y36" s="102"/>
      <c r="Z36" s="102"/>
      <c r="AA36" s="90"/>
    </row>
    <row r="37" spans="1:27" ht="18" x14ac:dyDescent="0.35">
      <c r="A37" s="109"/>
      <c r="B37" s="102"/>
      <c r="C37" s="102"/>
      <c r="D37" s="102"/>
      <c r="E37" s="102"/>
      <c r="F37" s="102"/>
      <c r="G37" s="103" t="s">
        <v>158</v>
      </c>
      <c r="H37" s="134">
        <v>2000</v>
      </c>
      <c r="I37" s="111" t="s">
        <v>157</v>
      </c>
      <c r="J37" s="102"/>
      <c r="K37" s="102"/>
      <c r="L37" s="102"/>
      <c r="M37" s="102"/>
      <c r="N37" s="102"/>
      <c r="O37" s="102"/>
      <c r="P37" s="102"/>
      <c r="Q37" s="102"/>
      <c r="R37" s="102"/>
      <c r="S37" s="102"/>
      <c r="T37" s="102"/>
      <c r="U37" s="102"/>
      <c r="V37" s="102"/>
      <c r="W37" s="102"/>
      <c r="X37" s="102"/>
      <c r="Y37" s="102"/>
      <c r="Z37" s="102"/>
      <c r="AA37" s="90"/>
    </row>
    <row r="38" spans="1:27" ht="18.75" thickBot="1" x14ac:dyDescent="0.4">
      <c r="A38" s="119"/>
      <c r="B38" s="115"/>
      <c r="C38" s="115"/>
      <c r="D38" s="115"/>
      <c r="E38" s="115"/>
      <c r="F38" s="115"/>
      <c r="G38" s="122" t="s">
        <v>165</v>
      </c>
      <c r="H38" s="140">
        <v>10</v>
      </c>
      <c r="I38" s="116" t="s">
        <v>92</v>
      </c>
      <c r="J38" s="102"/>
      <c r="K38" s="102"/>
      <c r="L38" s="102"/>
      <c r="M38" s="102"/>
      <c r="N38" s="102"/>
      <c r="O38" s="102"/>
      <c r="P38" s="102"/>
      <c r="Q38" s="102"/>
      <c r="R38" s="102"/>
      <c r="S38" s="102"/>
      <c r="T38" s="102"/>
      <c r="U38" s="102"/>
      <c r="V38" s="102"/>
      <c r="W38" s="102"/>
      <c r="X38" s="102"/>
      <c r="Y38" s="102"/>
      <c r="Z38" s="102"/>
      <c r="AA38" s="90"/>
    </row>
    <row r="39" spans="1:27" x14ac:dyDescent="0.25">
      <c r="A39" s="102"/>
      <c r="B39" s="102"/>
      <c r="C39" s="102"/>
      <c r="D39" s="102"/>
      <c r="E39" s="102"/>
      <c r="F39" s="102"/>
      <c r="G39" s="103"/>
      <c r="H39" s="102"/>
      <c r="I39" s="102"/>
      <c r="J39" s="102"/>
      <c r="K39" s="102"/>
      <c r="L39" s="102"/>
      <c r="M39" s="102"/>
      <c r="N39" s="102"/>
      <c r="O39" s="102"/>
      <c r="P39" s="102"/>
      <c r="Q39" s="102"/>
      <c r="R39" s="102"/>
      <c r="S39" s="102"/>
      <c r="T39" s="102"/>
      <c r="U39" s="102"/>
      <c r="V39" s="102"/>
      <c r="W39" s="102"/>
      <c r="X39" s="102"/>
      <c r="Y39" s="102"/>
      <c r="Z39" s="102"/>
      <c r="AA39" s="90"/>
    </row>
    <row r="40" spans="1:27" ht="15.75" thickBot="1" x14ac:dyDescent="0.3">
      <c r="A40" s="117" t="s">
        <v>548</v>
      </c>
      <c r="B40" s="102"/>
      <c r="C40" s="102"/>
      <c r="D40" s="102"/>
      <c r="E40" s="102"/>
      <c r="F40" s="102"/>
      <c r="G40" s="103"/>
      <c r="H40" s="102"/>
      <c r="I40" s="102"/>
      <c r="J40" s="102"/>
      <c r="K40" s="102"/>
      <c r="L40" s="102"/>
      <c r="M40" s="102"/>
      <c r="N40" s="102"/>
      <c r="O40" s="102"/>
      <c r="P40" s="102"/>
      <c r="Q40" s="102"/>
      <c r="R40" s="102"/>
      <c r="S40" s="102"/>
      <c r="T40" s="102"/>
      <c r="U40" s="102"/>
      <c r="V40" s="102"/>
      <c r="W40" s="102"/>
      <c r="X40" s="102"/>
      <c r="Y40" s="102"/>
      <c r="Z40" s="102"/>
      <c r="AA40" s="90"/>
    </row>
    <row r="41" spans="1:27" ht="18" x14ac:dyDescent="0.35">
      <c r="A41" s="105"/>
      <c r="B41" s="106"/>
      <c r="C41" s="106"/>
      <c r="D41" s="106"/>
      <c r="E41" s="106"/>
      <c r="F41" s="106"/>
      <c r="G41" s="124" t="s">
        <v>285</v>
      </c>
      <c r="H41" s="142">
        <f>Variable_Management!B117*(10^9)</f>
        <v>356.66666666666669</v>
      </c>
      <c r="I41" s="108" t="s">
        <v>183</v>
      </c>
      <c r="J41" s="102"/>
      <c r="K41" s="102"/>
      <c r="L41" s="102"/>
      <c r="M41" s="102"/>
      <c r="N41" s="102"/>
      <c r="O41" s="102"/>
      <c r="P41" s="102"/>
      <c r="Q41" s="102"/>
      <c r="R41" s="102"/>
      <c r="S41" s="102"/>
      <c r="T41" s="102"/>
      <c r="U41" s="102"/>
      <c r="V41" s="102"/>
      <c r="W41" s="102"/>
      <c r="X41" s="102"/>
      <c r="Y41" s="102"/>
      <c r="Z41" s="102"/>
      <c r="AA41" s="90"/>
    </row>
    <row r="42" spans="1:27" ht="18" x14ac:dyDescent="0.35">
      <c r="A42" s="109"/>
      <c r="B42" s="102"/>
      <c r="C42" s="102"/>
      <c r="D42" s="102"/>
      <c r="E42" s="102"/>
      <c r="F42" s="102"/>
      <c r="G42" s="103" t="s">
        <v>290</v>
      </c>
      <c r="H42" s="134">
        <v>10</v>
      </c>
      <c r="I42" s="111" t="s">
        <v>286</v>
      </c>
      <c r="J42" s="102"/>
      <c r="K42" s="102"/>
      <c r="L42" s="102"/>
      <c r="M42" s="102"/>
      <c r="N42" s="102"/>
      <c r="O42" s="102"/>
      <c r="P42" s="102"/>
      <c r="Q42" s="102"/>
      <c r="R42" s="102"/>
      <c r="S42" s="102"/>
      <c r="T42" s="102"/>
      <c r="U42" s="102"/>
      <c r="V42" s="102"/>
      <c r="W42" s="102"/>
      <c r="X42" s="102"/>
      <c r="Y42" s="102"/>
      <c r="Z42" s="102"/>
      <c r="AA42" s="90"/>
    </row>
    <row r="43" spans="1:27" ht="18.75" thickBot="1" x14ac:dyDescent="0.4">
      <c r="A43" s="119"/>
      <c r="B43" s="115"/>
      <c r="C43" s="115"/>
      <c r="D43" s="115"/>
      <c r="E43" s="115"/>
      <c r="F43" s="115"/>
      <c r="G43" s="122" t="s">
        <v>289</v>
      </c>
      <c r="H43" s="143">
        <f>Variable_Management!B119*(10^9)</f>
        <v>251.76470588235296</v>
      </c>
      <c r="I43" s="116" t="s">
        <v>183</v>
      </c>
      <c r="J43" s="102"/>
      <c r="K43" s="102"/>
      <c r="L43" s="102"/>
      <c r="M43" s="102"/>
      <c r="N43" s="102"/>
      <c r="O43" s="102"/>
      <c r="P43" s="102"/>
      <c r="Q43" s="102"/>
      <c r="R43" s="102"/>
      <c r="S43" s="102"/>
      <c r="T43" s="102"/>
      <c r="U43" s="102"/>
      <c r="V43" s="102"/>
      <c r="W43" s="102"/>
      <c r="X43" s="102"/>
      <c r="Y43" s="102"/>
      <c r="Z43" s="102"/>
      <c r="AA43" s="90"/>
    </row>
    <row r="44" spans="1:27" x14ac:dyDescent="0.25">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c r="AA44" s="90"/>
    </row>
    <row r="45" spans="1:27" ht="15.75" thickBot="1" x14ac:dyDescent="0.3">
      <c r="A45" s="117" t="s">
        <v>547</v>
      </c>
      <c r="B45" s="102"/>
      <c r="C45" s="102"/>
      <c r="D45" s="102"/>
      <c r="E45" s="102"/>
      <c r="F45" s="102"/>
      <c r="G45" s="103"/>
      <c r="H45" s="102"/>
      <c r="I45" s="102"/>
      <c r="J45" s="102"/>
      <c r="K45" s="102"/>
      <c r="L45" s="102"/>
      <c r="M45" s="102"/>
      <c r="N45" s="102"/>
      <c r="O45" s="102"/>
      <c r="P45" s="102"/>
      <c r="Q45" s="102"/>
      <c r="R45" s="102"/>
      <c r="S45" s="102"/>
      <c r="T45" s="102"/>
      <c r="U45" s="102"/>
      <c r="V45" s="102"/>
      <c r="W45" s="102"/>
      <c r="X45" s="102"/>
      <c r="Y45" s="102"/>
      <c r="Z45" s="102"/>
      <c r="AA45" s="90"/>
    </row>
    <row r="46" spans="1:27" ht="18" x14ac:dyDescent="0.35">
      <c r="A46" s="105"/>
      <c r="B46" s="106"/>
      <c r="C46" s="106"/>
      <c r="D46" s="106"/>
      <c r="E46" s="106"/>
      <c r="F46" s="106"/>
      <c r="G46" s="124" t="s">
        <v>542</v>
      </c>
      <c r="H46" s="133">
        <v>10.5</v>
      </c>
      <c r="I46" s="108" t="s">
        <v>10</v>
      </c>
      <c r="J46" s="102"/>
      <c r="K46" s="102"/>
      <c r="L46" s="102"/>
      <c r="M46" s="102"/>
      <c r="N46" s="102"/>
      <c r="O46" s="102"/>
      <c r="P46" s="102"/>
      <c r="Q46" s="102"/>
      <c r="R46" s="102"/>
      <c r="S46" s="102"/>
      <c r="T46" s="102"/>
      <c r="U46" s="102"/>
      <c r="V46" s="102"/>
      <c r="W46" s="102"/>
      <c r="X46" s="102"/>
      <c r="Y46" s="102"/>
      <c r="Z46" s="102"/>
      <c r="AA46" s="90"/>
    </row>
    <row r="47" spans="1:27" ht="18" x14ac:dyDescent="0.35">
      <c r="A47" s="109"/>
      <c r="B47" s="102"/>
      <c r="C47" s="102"/>
      <c r="D47" s="102"/>
      <c r="E47" s="102"/>
      <c r="F47" s="102"/>
      <c r="G47" s="103" t="s">
        <v>543</v>
      </c>
      <c r="H47" s="134">
        <v>9.5</v>
      </c>
      <c r="I47" s="111" t="s">
        <v>10</v>
      </c>
      <c r="J47" s="102"/>
      <c r="K47" s="102"/>
      <c r="L47" s="102"/>
      <c r="M47" s="102"/>
      <c r="N47" s="102"/>
      <c r="O47" s="102"/>
      <c r="P47" s="102"/>
      <c r="Q47" s="102"/>
      <c r="R47" s="102"/>
      <c r="S47" s="102"/>
      <c r="T47" s="102"/>
      <c r="U47" s="102"/>
      <c r="V47" s="102"/>
      <c r="W47" s="102"/>
      <c r="X47" s="102"/>
      <c r="Y47" s="102"/>
      <c r="Z47" s="102"/>
      <c r="AA47" s="90"/>
    </row>
    <row r="48" spans="1:27" ht="18" x14ac:dyDescent="0.35">
      <c r="A48" s="109"/>
      <c r="B48" s="102"/>
      <c r="C48" s="102"/>
      <c r="D48" s="102"/>
      <c r="E48" s="102"/>
      <c r="F48" s="102"/>
      <c r="G48" s="103" t="s">
        <v>544</v>
      </c>
      <c r="H48" s="141">
        <f>Ruvlo_top_calc/1000</f>
        <v>76.136363636363498</v>
      </c>
      <c r="I48" s="121" t="s">
        <v>181</v>
      </c>
      <c r="J48" s="102"/>
      <c r="K48" s="102"/>
      <c r="L48" s="102"/>
      <c r="M48" s="102"/>
      <c r="N48" s="102"/>
      <c r="O48" s="102"/>
      <c r="P48" s="102"/>
      <c r="Q48" s="102"/>
      <c r="R48" s="102"/>
      <c r="S48" s="102"/>
      <c r="T48" s="102"/>
      <c r="U48" s="102"/>
      <c r="V48" s="102"/>
      <c r="W48" s="102"/>
      <c r="X48" s="102"/>
      <c r="Y48" s="102"/>
      <c r="Z48" s="102"/>
      <c r="AA48" s="90"/>
    </row>
    <row r="49" spans="1:27" ht="18" x14ac:dyDescent="0.35">
      <c r="A49" s="109"/>
      <c r="B49" s="102"/>
      <c r="C49" s="102"/>
      <c r="D49" s="102"/>
      <c r="E49" s="102"/>
      <c r="F49" s="102"/>
      <c r="G49" s="103" t="s">
        <v>545</v>
      </c>
      <c r="H49" s="134">
        <v>76.8</v>
      </c>
      <c r="I49" s="121" t="s">
        <v>181</v>
      </c>
      <c r="J49" s="102"/>
      <c r="K49" s="102"/>
      <c r="L49" s="102"/>
      <c r="M49" s="102"/>
      <c r="N49" s="102"/>
      <c r="O49" s="102"/>
      <c r="P49" s="102"/>
      <c r="Q49" s="102"/>
      <c r="R49" s="102"/>
      <c r="S49" s="102"/>
      <c r="T49" s="102"/>
      <c r="U49" s="102"/>
      <c r="V49" s="102"/>
      <c r="W49" s="102"/>
      <c r="X49" s="102"/>
      <c r="Y49" s="102"/>
      <c r="Z49" s="102"/>
      <c r="AA49" s="90"/>
    </row>
    <row r="50" spans="1:27" ht="18.75" thickBot="1" x14ac:dyDescent="0.4">
      <c r="A50" s="119"/>
      <c r="B50" s="115"/>
      <c r="C50" s="115"/>
      <c r="D50" s="115"/>
      <c r="E50" s="115"/>
      <c r="F50" s="115"/>
      <c r="G50" s="122" t="s">
        <v>546</v>
      </c>
      <c r="H50" s="167">
        <f>Ruvlo_bottom_calc/1000</f>
        <v>8.9872340425531902</v>
      </c>
      <c r="I50" s="123" t="s">
        <v>181</v>
      </c>
      <c r="J50" s="102"/>
      <c r="K50" s="102"/>
      <c r="L50" s="102"/>
      <c r="M50" s="102"/>
      <c r="N50" s="102"/>
      <c r="O50" s="102"/>
      <c r="P50" s="102"/>
      <c r="Q50" s="102"/>
      <c r="R50" s="102"/>
      <c r="S50" s="102"/>
      <c r="T50" s="102"/>
      <c r="U50" s="102"/>
      <c r="V50" s="102"/>
      <c r="W50" s="102"/>
      <c r="X50" s="102"/>
      <c r="Y50" s="102"/>
      <c r="Z50" s="102"/>
      <c r="AA50" s="90"/>
    </row>
    <row r="51" spans="1:27" x14ac:dyDescent="0.25">
      <c r="A51" s="102"/>
      <c r="B51" s="102"/>
      <c r="C51" s="102"/>
      <c r="D51" s="102"/>
      <c r="E51" s="102"/>
      <c r="F51" s="102"/>
      <c r="G51" s="103"/>
      <c r="H51" s="102"/>
      <c r="I51" s="102"/>
      <c r="J51" s="102"/>
      <c r="K51" s="102"/>
      <c r="L51" s="102"/>
      <c r="M51" s="102"/>
      <c r="N51" s="102"/>
      <c r="O51" s="102"/>
      <c r="P51" s="102"/>
      <c r="Q51" s="102"/>
      <c r="R51" s="102"/>
      <c r="S51" s="102"/>
      <c r="T51" s="102"/>
      <c r="U51" s="102"/>
      <c r="V51" s="102"/>
      <c r="W51" s="102"/>
      <c r="X51" s="102"/>
      <c r="Y51" s="102"/>
      <c r="Z51" s="102"/>
      <c r="AA51" s="90"/>
    </row>
    <row r="52" spans="1:27" x14ac:dyDescent="0.25">
      <c r="A52" s="102"/>
      <c r="B52" s="102"/>
      <c r="C52" s="102"/>
      <c r="D52" s="102"/>
      <c r="E52" s="102"/>
      <c r="F52" s="102"/>
      <c r="G52" s="103"/>
      <c r="H52" s="102"/>
      <c r="I52" s="102"/>
      <c r="J52" s="102"/>
      <c r="K52" s="102"/>
      <c r="L52" s="102"/>
      <c r="M52" s="102"/>
      <c r="N52" s="102"/>
      <c r="O52" s="102"/>
      <c r="P52" s="102"/>
      <c r="Q52" s="102"/>
      <c r="R52" s="102"/>
      <c r="S52" s="102"/>
      <c r="T52" s="102"/>
      <c r="U52" s="102"/>
      <c r="V52" s="102"/>
      <c r="W52" s="102"/>
      <c r="X52" s="102"/>
      <c r="Y52" s="102"/>
      <c r="Z52" s="102"/>
      <c r="AA52" s="90"/>
    </row>
    <row r="53" spans="1:27" ht="15.75" thickBot="1" x14ac:dyDescent="0.3">
      <c r="A53" s="117" t="s">
        <v>313</v>
      </c>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c r="AA53" s="90"/>
    </row>
    <row r="54" spans="1:27" ht="18" x14ac:dyDescent="0.35">
      <c r="A54" s="125"/>
      <c r="B54" s="106"/>
      <c r="C54" s="106"/>
      <c r="D54" s="106"/>
      <c r="E54" s="106"/>
      <c r="F54" s="106"/>
      <c r="G54" s="126" t="s">
        <v>416</v>
      </c>
      <c r="H54" s="144" t="str">
        <f>VIN_nom&amp;"V"</f>
        <v>11V</v>
      </c>
      <c r="I54" s="108"/>
      <c r="J54" s="102"/>
      <c r="K54" s="102"/>
      <c r="L54" s="102"/>
      <c r="M54" s="102"/>
      <c r="N54" s="102"/>
      <c r="O54" s="102"/>
      <c r="P54" s="102"/>
      <c r="Q54" s="102"/>
      <c r="R54" s="102"/>
      <c r="S54" s="102"/>
      <c r="T54" s="102"/>
      <c r="U54" s="102"/>
      <c r="V54" s="102"/>
      <c r="W54" s="102"/>
      <c r="X54" s="102"/>
      <c r="Y54" s="102"/>
      <c r="Z54" s="102"/>
      <c r="AA54" s="90"/>
    </row>
    <row r="55" spans="1:27" x14ac:dyDescent="0.25">
      <c r="A55" s="109"/>
      <c r="B55" s="102"/>
      <c r="C55" s="102"/>
      <c r="D55" s="102"/>
      <c r="E55" s="102"/>
      <c r="F55" s="102"/>
      <c r="G55" s="128" t="s">
        <v>564</v>
      </c>
      <c r="H55" s="145"/>
      <c r="I55" s="111"/>
      <c r="J55" s="102"/>
      <c r="K55" s="102"/>
      <c r="L55" s="102"/>
      <c r="M55" s="102"/>
      <c r="N55" s="102"/>
      <c r="O55" s="102"/>
      <c r="P55" s="102"/>
      <c r="Q55" s="102"/>
      <c r="R55" s="102"/>
      <c r="S55" s="102"/>
      <c r="T55" s="102"/>
      <c r="U55" s="102"/>
      <c r="V55" s="102"/>
      <c r="W55" s="102"/>
      <c r="X55" s="102"/>
      <c r="Y55" s="102"/>
      <c r="Z55" s="102"/>
      <c r="AA55" s="90"/>
    </row>
    <row r="56" spans="1:27" x14ac:dyDescent="0.25">
      <c r="A56" s="127"/>
      <c r="B56" s="102"/>
      <c r="C56" s="102"/>
      <c r="D56" s="102"/>
      <c r="E56" s="102"/>
      <c r="F56" s="102"/>
      <c r="G56" s="103" t="s">
        <v>519</v>
      </c>
      <c r="H56" s="147" t="str">
        <f>CHOOSE(VOUT_range,"Low","High")</f>
        <v>High</v>
      </c>
      <c r="I56" s="111"/>
      <c r="J56" s="102"/>
      <c r="K56" s="102"/>
      <c r="L56" s="102"/>
      <c r="M56" s="102"/>
      <c r="N56" s="102"/>
      <c r="O56" s="102"/>
      <c r="P56" s="102"/>
      <c r="Q56" s="102"/>
      <c r="R56" s="102"/>
      <c r="S56" s="102"/>
      <c r="T56" s="102"/>
      <c r="U56" s="102"/>
      <c r="V56" s="102"/>
      <c r="W56" s="102"/>
      <c r="X56" s="102"/>
      <c r="Y56" s="102"/>
      <c r="Z56" s="102"/>
      <c r="AA56" s="90"/>
    </row>
    <row r="57" spans="1:27" ht="18" x14ac:dyDescent="0.35">
      <c r="A57" s="127"/>
      <c r="B57" s="102"/>
      <c r="C57" s="102"/>
      <c r="D57" s="102"/>
      <c r="E57" s="102"/>
      <c r="F57" s="102"/>
      <c r="G57" s="103" t="s">
        <v>566</v>
      </c>
      <c r="H57" s="146">
        <f>VTRK</f>
        <v>0.89166666666666672</v>
      </c>
      <c r="I57" s="121" t="s">
        <v>10</v>
      </c>
      <c r="J57" s="102"/>
      <c r="K57" s="102"/>
      <c r="L57" s="102"/>
      <c r="M57" s="102"/>
      <c r="N57" s="102"/>
      <c r="O57" s="102"/>
      <c r="P57" s="102"/>
      <c r="Q57" s="102"/>
      <c r="R57" s="102"/>
      <c r="S57" s="102"/>
      <c r="T57" s="102"/>
      <c r="U57" s="102"/>
      <c r="V57" s="102"/>
      <c r="W57" s="102"/>
      <c r="X57" s="102"/>
      <c r="Y57" s="102"/>
      <c r="Z57" s="102"/>
      <c r="AA57" s="90"/>
    </row>
    <row r="58" spans="1:27" ht="18" x14ac:dyDescent="0.35">
      <c r="A58" s="127"/>
      <c r="B58" s="102"/>
      <c r="C58" s="102"/>
      <c r="D58" s="102"/>
      <c r="E58" s="102"/>
      <c r="F58" s="102"/>
      <c r="G58" s="103" t="s">
        <v>599</v>
      </c>
      <c r="H58" s="163">
        <f>Variable_Management!B144/1000</f>
        <v>2.1666666666666643</v>
      </c>
      <c r="I58" s="121" t="s">
        <v>181</v>
      </c>
      <c r="J58" s="102"/>
      <c r="K58" s="102"/>
      <c r="L58" s="102"/>
      <c r="M58" s="102"/>
      <c r="N58" s="102"/>
      <c r="O58" s="102"/>
      <c r="P58" s="102"/>
      <c r="Q58" s="102"/>
      <c r="R58" s="102"/>
      <c r="S58" s="102"/>
      <c r="T58" s="102"/>
      <c r="U58" s="102"/>
      <c r="V58" s="102"/>
      <c r="W58" s="102"/>
      <c r="X58" s="102"/>
      <c r="Y58" s="102"/>
      <c r="Z58" s="102"/>
      <c r="AA58" s="90"/>
    </row>
    <row r="59" spans="1:27" ht="18" x14ac:dyDescent="0.35">
      <c r="A59" s="127"/>
      <c r="B59" s="102"/>
      <c r="C59" s="102"/>
      <c r="D59" s="102"/>
      <c r="E59" s="102"/>
      <c r="F59" s="102"/>
      <c r="G59" s="103" t="s">
        <v>600</v>
      </c>
      <c r="H59" s="163">
        <f>Variable_Management!B143/1000</f>
        <v>3.7916666666666643</v>
      </c>
      <c r="I59" s="121" t="s">
        <v>181</v>
      </c>
      <c r="J59" s="102"/>
      <c r="K59" s="102"/>
      <c r="L59" s="102"/>
      <c r="M59" s="102"/>
      <c r="N59" s="102"/>
      <c r="O59" s="102"/>
      <c r="P59" s="102"/>
      <c r="Q59" s="102"/>
      <c r="R59" s="102"/>
      <c r="S59" s="102"/>
      <c r="T59" s="102"/>
      <c r="U59" s="102"/>
      <c r="V59" s="102"/>
      <c r="W59" s="102"/>
      <c r="X59" s="102"/>
      <c r="Y59" s="102"/>
      <c r="Z59" s="102"/>
      <c r="AA59" s="90"/>
    </row>
    <row r="60" spans="1:27" ht="18" x14ac:dyDescent="0.35">
      <c r="A60" s="127"/>
      <c r="B60" s="102"/>
      <c r="C60" s="102"/>
      <c r="D60" s="102"/>
      <c r="E60" s="102"/>
      <c r="F60" s="102"/>
      <c r="G60" s="103" t="s">
        <v>592</v>
      </c>
      <c r="H60" s="134">
        <v>3.74</v>
      </c>
      <c r="I60" s="121" t="s">
        <v>181</v>
      </c>
      <c r="J60" s="102"/>
      <c r="K60" s="102"/>
      <c r="L60" s="102"/>
      <c r="M60" s="102"/>
      <c r="N60" s="102"/>
      <c r="O60" s="102"/>
      <c r="P60" s="102"/>
      <c r="Q60" s="102"/>
      <c r="R60" s="102"/>
      <c r="S60" s="102"/>
      <c r="T60" s="102"/>
      <c r="U60" s="102"/>
      <c r="V60" s="102"/>
      <c r="W60" s="102"/>
      <c r="X60" s="102"/>
      <c r="Y60" s="102"/>
      <c r="Z60" s="102"/>
      <c r="AA60" s="90"/>
    </row>
    <row r="61" spans="1:27" ht="18" x14ac:dyDescent="0.35">
      <c r="A61" s="109"/>
      <c r="B61" s="102"/>
      <c r="C61" s="102"/>
      <c r="D61" s="102"/>
      <c r="E61" s="102"/>
      <c r="F61" s="102"/>
      <c r="G61" s="103" t="s">
        <v>565</v>
      </c>
      <c r="H61" s="185">
        <f>RFBB_calc/1000</f>
        <v>30.783076923076948</v>
      </c>
      <c r="I61" s="121" t="s">
        <v>181</v>
      </c>
      <c r="J61" s="102"/>
      <c r="K61" s="102"/>
      <c r="L61" s="102"/>
      <c r="M61" s="102"/>
      <c r="N61" s="102"/>
      <c r="O61" s="102"/>
      <c r="P61" s="102"/>
      <c r="Q61" s="102"/>
      <c r="R61" s="102"/>
      <c r="S61" s="102"/>
      <c r="T61" s="102"/>
      <c r="U61" s="102"/>
      <c r="V61" s="102"/>
      <c r="W61" s="102"/>
      <c r="X61" s="102"/>
      <c r="Y61" s="102"/>
      <c r="Z61" s="102"/>
      <c r="AA61" s="90"/>
    </row>
    <row r="62" spans="1:27" ht="18" x14ac:dyDescent="0.35">
      <c r="A62" s="109"/>
      <c r="B62" s="102"/>
      <c r="C62" s="102"/>
      <c r="D62" s="102"/>
      <c r="E62" s="102"/>
      <c r="F62" s="102"/>
      <c r="G62" s="103" t="s">
        <v>596</v>
      </c>
      <c r="H62" s="134">
        <v>30.9</v>
      </c>
      <c r="I62" s="121" t="s">
        <v>181</v>
      </c>
      <c r="J62" s="102"/>
      <c r="K62" s="102"/>
      <c r="L62" s="102"/>
      <c r="M62" s="102"/>
      <c r="N62" s="102"/>
      <c r="O62" s="102"/>
      <c r="P62" s="102"/>
      <c r="Q62" s="102"/>
      <c r="R62" s="102"/>
      <c r="S62" s="102"/>
      <c r="T62" s="102"/>
      <c r="U62" s="102"/>
      <c r="V62" s="102"/>
      <c r="W62" s="102"/>
      <c r="X62" s="102"/>
      <c r="Y62" s="102"/>
      <c r="Z62" s="102"/>
      <c r="AA62" s="90"/>
    </row>
    <row r="63" spans="1:27" x14ac:dyDescent="0.25">
      <c r="A63" s="109"/>
      <c r="B63" s="102"/>
      <c r="C63" s="102"/>
      <c r="D63" s="102"/>
      <c r="E63" s="102"/>
      <c r="F63" s="102"/>
      <c r="G63" s="103"/>
      <c r="H63" s="136"/>
      <c r="I63" s="121"/>
      <c r="J63" s="102"/>
      <c r="K63" s="102"/>
      <c r="L63" s="102"/>
      <c r="M63" s="102"/>
      <c r="N63" s="102"/>
      <c r="O63" s="102"/>
      <c r="P63" s="102"/>
      <c r="Q63" s="102"/>
      <c r="R63" s="102"/>
      <c r="S63" s="102"/>
      <c r="T63" s="102"/>
      <c r="U63" s="102"/>
      <c r="V63" s="102"/>
      <c r="W63" s="102"/>
      <c r="X63" s="102"/>
      <c r="Y63" s="102"/>
      <c r="Z63" s="102"/>
      <c r="AA63" s="90"/>
    </row>
    <row r="64" spans="1:27" ht="18" x14ac:dyDescent="0.35">
      <c r="A64" s="109"/>
      <c r="B64" s="102"/>
      <c r="C64" s="102"/>
      <c r="D64" s="102"/>
      <c r="E64" s="102"/>
      <c r="F64" s="102"/>
      <c r="G64" s="103" t="s">
        <v>598</v>
      </c>
      <c r="H64" s="163">
        <f>fcross_est/1000</f>
        <v>7.9990646372250609</v>
      </c>
      <c r="I64" s="111" t="s">
        <v>12</v>
      </c>
      <c r="J64" s="102"/>
      <c r="K64" s="102"/>
      <c r="L64" s="102"/>
      <c r="M64" s="102"/>
      <c r="N64" s="102"/>
      <c r="O64" s="102"/>
      <c r="P64" s="102"/>
      <c r="Q64" s="102"/>
      <c r="R64" s="102"/>
      <c r="S64" s="102"/>
      <c r="T64" s="102"/>
      <c r="U64" s="102"/>
      <c r="V64" s="102"/>
      <c r="W64" s="102"/>
      <c r="X64" s="102"/>
      <c r="Y64" s="102"/>
      <c r="Z64" s="102"/>
      <c r="AA64" s="90"/>
    </row>
    <row r="65" spans="1:27" ht="18" x14ac:dyDescent="0.35">
      <c r="A65" s="109"/>
      <c r="B65" s="102"/>
      <c r="C65" s="102"/>
      <c r="D65" s="102"/>
      <c r="E65" s="102"/>
      <c r="F65" s="102"/>
      <c r="G65" s="103" t="s">
        <v>597</v>
      </c>
      <c r="H65" s="134">
        <v>10</v>
      </c>
      <c r="I65" s="111" t="s">
        <v>12</v>
      </c>
      <c r="J65" s="102"/>
      <c r="K65" s="102"/>
      <c r="L65" s="102"/>
      <c r="M65" s="102"/>
      <c r="N65" s="102"/>
      <c r="O65" s="102"/>
      <c r="P65" s="102"/>
      <c r="Q65" s="102"/>
      <c r="R65" s="102"/>
      <c r="S65" s="102"/>
      <c r="T65" s="102"/>
      <c r="U65" s="102"/>
      <c r="V65" s="102"/>
      <c r="W65" s="102"/>
      <c r="X65" s="102"/>
      <c r="Y65" s="102"/>
      <c r="Z65" s="102"/>
      <c r="AA65" s="90"/>
    </row>
    <row r="66" spans="1:27" x14ac:dyDescent="0.25">
      <c r="A66" s="109"/>
      <c r="B66" s="102"/>
      <c r="C66" s="102"/>
      <c r="D66" s="102"/>
      <c r="E66" s="102"/>
      <c r="F66" s="102"/>
      <c r="G66" s="103"/>
      <c r="H66" s="136"/>
      <c r="I66" s="111"/>
      <c r="J66" s="102"/>
      <c r="K66" s="102"/>
      <c r="L66" s="102"/>
      <c r="M66" s="102"/>
      <c r="N66" s="102"/>
      <c r="O66" s="102"/>
      <c r="P66" s="102"/>
      <c r="Q66" s="102"/>
      <c r="R66" s="102"/>
      <c r="S66" s="102"/>
      <c r="T66" s="102"/>
      <c r="U66" s="102"/>
      <c r="V66" s="102"/>
      <c r="W66" s="102"/>
      <c r="X66" s="102"/>
      <c r="Y66" s="102"/>
      <c r="Z66" s="102"/>
      <c r="AA66" s="90"/>
    </row>
    <row r="67" spans="1:27" ht="15.75" thickBot="1" x14ac:dyDescent="0.3">
      <c r="A67" s="109"/>
      <c r="B67" s="102"/>
      <c r="C67" s="102"/>
      <c r="D67" s="102"/>
      <c r="E67" s="102"/>
      <c r="F67" s="129" t="s">
        <v>266</v>
      </c>
      <c r="G67" s="129"/>
      <c r="H67" s="147" t="s">
        <v>267</v>
      </c>
      <c r="I67" s="130"/>
      <c r="J67" s="102"/>
      <c r="K67" s="102"/>
      <c r="L67" s="102"/>
      <c r="M67" s="102"/>
      <c r="N67" s="102"/>
      <c r="O67" s="102"/>
      <c r="P67" s="102"/>
      <c r="Q67" s="102"/>
      <c r="R67" s="102"/>
      <c r="S67" s="102"/>
      <c r="T67" s="102"/>
      <c r="U67" s="102"/>
      <c r="V67" s="102"/>
      <c r="W67" s="102"/>
      <c r="X67" s="102"/>
      <c r="Y67" s="102"/>
      <c r="Z67" s="102"/>
      <c r="AA67" s="90"/>
    </row>
    <row r="68" spans="1:27" ht="18.75" thickBot="1" x14ac:dyDescent="0.4">
      <c r="A68" s="109"/>
      <c r="B68" s="102"/>
      <c r="C68" s="102"/>
      <c r="D68" s="102"/>
      <c r="E68" s="103" t="s">
        <v>265</v>
      </c>
      <c r="F68" s="186">
        <f>RCOMP_Calc/1000</f>
        <v>333.41400370986071</v>
      </c>
      <c r="G68" s="169" t="s">
        <v>181</v>
      </c>
      <c r="H68" s="149">
        <v>220</v>
      </c>
      <c r="I68" s="121" t="s">
        <v>181</v>
      </c>
      <c r="J68" s="102"/>
      <c r="K68" s="102"/>
      <c r="L68" s="102"/>
      <c r="M68" s="102"/>
      <c r="N68" s="102"/>
      <c r="O68" s="102"/>
      <c r="P68" s="102"/>
      <c r="Q68" s="102"/>
      <c r="R68" s="102"/>
      <c r="S68" s="102"/>
      <c r="T68" s="102"/>
      <c r="U68" s="102"/>
      <c r="V68" s="102"/>
      <c r="W68" s="102"/>
      <c r="X68" s="102"/>
      <c r="Y68" s="102"/>
      <c r="Z68" s="102"/>
      <c r="AA68" s="90"/>
    </row>
    <row r="69" spans="1:27" ht="18.75" thickBot="1" x14ac:dyDescent="0.4">
      <c r="A69" s="109"/>
      <c r="B69" s="102"/>
      <c r="C69" s="102"/>
      <c r="D69" s="102"/>
      <c r="E69" s="103" t="s">
        <v>380</v>
      </c>
      <c r="F69" s="186">
        <f>CCOMP_Calc*(10^9)</f>
        <v>1.0682907102715526</v>
      </c>
      <c r="G69" s="169" t="s">
        <v>183</v>
      </c>
      <c r="H69" s="149">
        <v>1.5</v>
      </c>
      <c r="I69" s="111" t="s">
        <v>183</v>
      </c>
      <c r="J69" s="102"/>
      <c r="K69" s="102"/>
      <c r="L69" s="102"/>
      <c r="M69" s="102"/>
      <c r="N69" s="102"/>
      <c r="O69" s="102"/>
      <c r="P69" s="102"/>
      <c r="Q69" s="102"/>
      <c r="R69" s="102"/>
      <c r="S69" s="102"/>
      <c r="T69" s="102"/>
      <c r="U69" s="102"/>
      <c r="V69" s="102"/>
      <c r="W69" s="102"/>
      <c r="X69" s="102"/>
      <c r="Y69" s="102"/>
      <c r="Z69" s="102"/>
      <c r="AA69" s="90"/>
    </row>
    <row r="70" spans="1:27" ht="18.75" thickBot="1" x14ac:dyDescent="0.4">
      <c r="A70" s="119"/>
      <c r="B70" s="115"/>
      <c r="C70" s="115"/>
      <c r="D70" s="115"/>
      <c r="E70" s="122" t="s">
        <v>381</v>
      </c>
      <c r="F70" s="148">
        <f>CHF_calc*(10^12)</f>
        <v>3.3862665174517392</v>
      </c>
      <c r="G70" s="170" t="s">
        <v>182</v>
      </c>
      <c r="H70" s="140">
        <v>22</v>
      </c>
      <c r="I70" s="116" t="s">
        <v>182</v>
      </c>
      <c r="J70" s="102"/>
      <c r="K70" s="102"/>
      <c r="L70" s="102"/>
      <c r="M70" s="102"/>
      <c r="N70" s="102"/>
      <c r="O70" s="102"/>
      <c r="P70" s="102"/>
      <c r="Q70" s="102"/>
      <c r="R70" s="102"/>
      <c r="S70" s="102"/>
      <c r="T70" s="102"/>
      <c r="U70" s="102"/>
      <c r="V70" s="102"/>
      <c r="W70" s="102"/>
      <c r="X70" s="102"/>
      <c r="Y70" s="102"/>
      <c r="Z70" s="102"/>
      <c r="AA70" s="90"/>
    </row>
    <row r="71" spans="1:27" x14ac:dyDescent="0.25">
      <c r="A71" s="92"/>
      <c r="B71" s="92"/>
      <c r="C71" s="92"/>
      <c r="D71" s="92"/>
      <c r="E71" s="93"/>
      <c r="F71" s="184"/>
      <c r="G71" s="93"/>
      <c r="H71" s="92"/>
      <c r="I71" s="92"/>
      <c r="J71" s="92"/>
      <c r="K71" s="92"/>
      <c r="L71" s="92"/>
      <c r="M71" s="92"/>
      <c r="N71" s="92"/>
      <c r="O71" s="92"/>
      <c r="P71" s="92"/>
      <c r="Q71" s="92"/>
      <c r="R71" s="92"/>
      <c r="S71" s="92"/>
      <c r="T71" s="92"/>
      <c r="U71" s="92"/>
      <c r="V71" s="92"/>
      <c r="W71" s="92"/>
      <c r="X71" s="92"/>
      <c r="Y71" s="92"/>
      <c r="Z71" s="92"/>
      <c r="AA71" s="90"/>
    </row>
    <row r="72" spans="1:27" s="159" customFormat="1" ht="23.25" x14ac:dyDescent="0.35">
      <c r="A72" s="171" t="s">
        <v>264</v>
      </c>
      <c r="B72" s="172"/>
      <c r="C72" s="172"/>
      <c r="D72" s="172"/>
      <c r="E72" s="172"/>
      <c r="F72" s="172"/>
      <c r="G72" s="173"/>
      <c r="H72" s="172"/>
      <c r="I72" s="172"/>
      <c r="J72" s="172"/>
      <c r="K72" s="172"/>
      <c r="L72" s="172"/>
      <c r="M72" s="172"/>
      <c r="N72" s="172"/>
      <c r="O72" s="172"/>
      <c r="P72" s="172"/>
      <c r="Q72" s="172"/>
      <c r="R72" s="172"/>
      <c r="S72" s="172"/>
      <c r="T72" s="172"/>
      <c r="U72" s="172"/>
      <c r="V72" s="172"/>
      <c r="W72" s="172"/>
      <c r="X72" s="174"/>
      <c r="Y72" s="174"/>
      <c r="Z72" s="174"/>
      <c r="AA72" s="189"/>
    </row>
    <row r="73" spans="1:27" s="159" customFormat="1" x14ac:dyDescent="0.25">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4"/>
      <c r="Y73" s="174"/>
      <c r="Z73" s="174"/>
      <c r="AA73" s="189"/>
    </row>
    <row r="74" spans="1:27" s="159" customFormat="1" ht="18.75" thickBot="1" x14ac:dyDescent="0.4">
      <c r="A74" s="175" t="s">
        <v>594</v>
      </c>
      <c r="B74" s="172"/>
      <c r="C74" s="172"/>
      <c r="D74" s="172"/>
      <c r="E74" s="172"/>
      <c r="F74" s="172"/>
      <c r="G74" s="172"/>
      <c r="H74" s="172"/>
      <c r="I74" s="172"/>
      <c r="J74" s="172"/>
      <c r="K74" s="172"/>
      <c r="L74" s="172"/>
      <c r="M74" s="172"/>
      <c r="N74" s="172"/>
      <c r="O74" s="172"/>
      <c r="P74" s="172"/>
      <c r="Q74" s="172"/>
      <c r="R74" s="172"/>
      <c r="S74" s="172"/>
      <c r="T74" s="172"/>
      <c r="U74" s="172"/>
      <c r="V74" s="172"/>
      <c r="W74" s="172"/>
      <c r="X74" s="174"/>
      <c r="Y74" s="174"/>
      <c r="Z74" s="174"/>
      <c r="AA74" s="189"/>
    </row>
    <row r="75" spans="1:27" s="159" customFormat="1" ht="15.75" x14ac:dyDescent="0.3">
      <c r="A75" s="190"/>
      <c r="B75" s="191"/>
      <c r="C75" s="191"/>
      <c r="D75" s="191"/>
      <c r="E75" s="191"/>
      <c r="F75" s="191"/>
      <c r="G75" s="192" t="s">
        <v>510</v>
      </c>
      <c r="H75" s="207">
        <v>4</v>
      </c>
      <c r="I75" s="193" t="s">
        <v>334</v>
      </c>
      <c r="J75" s="172"/>
      <c r="K75" s="172"/>
      <c r="L75" s="172"/>
      <c r="M75" s="172"/>
      <c r="N75" s="172"/>
      <c r="O75" s="172"/>
      <c r="P75" s="172"/>
      <c r="Q75" s="172"/>
      <c r="R75" s="172"/>
      <c r="S75" s="172"/>
      <c r="T75" s="172"/>
      <c r="U75" s="172"/>
      <c r="V75" s="172"/>
      <c r="W75" s="172"/>
      <c r="X75" s="174"/>
      <c r="Y75" s="174"/>
      <c r="Z75" s="174"/>
      <c r="AA75" s="189"/>
    </row>
    <row r="76" spans="1:27" s="159" customFormat="1" ht="15.75" x14ac:dyDescent="0.3">
      <c r="A76" s="194"/>
      <c r="B76" s="172"/>
      <c r="C76" s="172"/>
      <c r="D76" s="172"/>
      <c r="E76" s="172"/>
      <c r="F76" s="172"/>
      <c r="G76" s="176" t="s">
        <v>511</v>
      </c>
      <c r="H76" s="208">
        <v>16</v>
      </c>
      <c r="I76" s="195" t="s">
        <v>335</v>
      </c>
      <c r="J76" s="172"/>
      <c r="K76" s="172"/>
      <c r="L76" s="172"/>
      <c r="M76" s="172"/>
      <c r="N76" s="172"/>
      <c r="O76" s="172"/>
      <c r="P76" s="172"/>
      <c r="Q76" s="172"/>
      <c r="R76" s="172"/>
      <c r="S76" s="172"/>
      <c r="T76" s="172"/>
      <c r="U76" s="172"/>
      <c r="V76" s="172"/>
      <c r="W76" s="172"/>
      <c r="X76" s="174"/>
      <c r="Y76" s="174"/>
      <c r="Z76" s="174"/>
      <c r="AA76" s="189"/>
    </row>
    <row r="77" spans="1:27" s="159" customFormat="1" ht="15.75" x14ac:dyDescent="0.3">
      <c r="A77" s="194"/>
      <c r="B77" s="172"/>
      <c r="C77" s="172"/>
      <c r="D77" s="172"/>
      <c r="E77" s="172"/>
      <c r="F77" s="172"/>
      <c r="G77" s="176" t="s">
        <v>512</v>
      </c>
      <c r="H77" s="208">
        <v>1.1000000000000001</v>
      </c>
      <c r="I77" s="195" t="s">
        <v>335</v>
      </c>
      <c r="J77" s="172"/>
      <c r="K77" s="172"/>
      <c r="L77" s="172"/>
      <c r="M77" s="172"/>
      <c r="N77" s="172"/>
      <c r="O77" s="172"/>
      <c r="P77" s="172"/>
      <c r="Q77" s="172"/>
      <c r="R77" s="172"/>
      <c r="S77" s="172"/>
      <c r="T77" s="172"/>
      <c r="U77" s="172"/>
      <c r="V77" s="172"/>
      <c r="W77" s="172"/>
      <c r="X77" s="174"/>
      <c r="Y77" s="174"/>
      <c r="Z77" s="174"/>
      <c r="AA77" s="189"/>
    </row>
    <row r="78" spans="1:27" s="159" customFormat="1" ht="15.75" x14ac:dyDescent="0.3">
      <c r="A78" s="196"/>
      <c r="B78" s="172"/>
      <c r="C78" s="172"/>
      <c r="D78" s="172"/>
      <c r="E78" s="172"/>
      <c r="F78" s="172"/>
      <c r="G78" s="176" t="s">
        <v>513</v>
      </c>
      <c r="H78" s="208">
        <v>4.3</v>
      </c>
      <c r="I78" s="195" t="s">
        <v>335</v>
      </c>
      <c r="J78" s="172"/>
      <c r="K78" s="172"/>
      <c r="L78" s="172"/>
      <c r="M78" s="172"/>
      <c r="N78" s="172"/>
      <c r="O78" s="172"/>
      <c r="P78" s="172"/>
      <c r="Q78" s="172"/>
      <c r="R78" s="172"/>
      <c r="S78" s="172"/>
      <c r="T78" s="172"/>
      <c r="U78" s="172"/>
      <c r="V78" s="172"/>
      <c r="W78" s="172"/>
      <c r="X78" s="174"/>
      <c r="Y78" s="174"/>
      <c r="Z78" s="174"/>
      <c r="AA78" s="189"/>
    </row>
    <row r="79" spans="1:27" s="159" customFormat="1" ht="15.75" x14ac:dyDescent="0.3">
      <c r="A79" s="196"/>
      <c r="B79" s="172"/>
      <c r="C79" s="172"/>
      <c r="D79" s="172"/>
      <c r="E79" s="172"/>
      <c r="F79" s="172"/>
      <c r="G79" s="176" t="s">
        <v>514</v>
      </c>
      <c r="H79" s="208">
        <v>0.4</v>
      </c>
      <c r="I79" s="195" t="s">
        <v>336</v>
      </c>
      <c r="J79" s="172"/>
      <c r="K79" s="172"/>
      <c r="L79" s="172"/>
      <c r="M79" s="172"/>
      <c r="N79" s="172"/>
      <c r="O79" s="172"/>
      <c r="P79" s="172"/>
      <c r="Q79" s="172"/>
      <c r="R79" s="172"/>
      <c r="S79" s="172"/>
      <c r="T79" s="172"/>
      <c r="U79" s="172"/>
      <c r="V79" s="172"/>
      <c r="W79" s="172"/>
      <c r="X79" s="174"/>
      <c r="Y79" s="174"/>
      <c r="Z79" s="174"/>
      <c r="AA79" s="189"/>
    </row>
    <row r="80" spans="1:27" s="159" customFormat="1" ht="16.5" thickBot="1" x14ac:dyDescent="0.35">
      <c r="A80" s="197"/>
      <c r="B80" s="198"/>
      <c r="C80" s="198"/>
      <c r="D80" s="198"/>
      <c r="E80" s="198"/>
      <c r="F80" s="198"/>
      <c r="G80" s="199" t="s">
        <v>515</v>
      </c>
      <c r="H80" s="209">
        <v>1.3</v>
      </c>
      <c r="I80" s="200" t="s">
        <v>10</v>
      </c>
      <c r="J80" s="172"/>
      <c r="K80" s="172"/>
      <c r="L80" s="172"/>
      <c r="M80" s="172"/>
      <c r="N80" s="172"/>
      <c r="O80" s="172"/>
      <c r="P80" s="172"/>
      <c r="Q80" s="172"/>
      <c r="R80" s="172"/>
      <c r="S80" s="172"/>
      <c r="T80" s="172"/>
      <c r="U80" s="172"/>
      <c r="V80" s="172"/>
      <c r="W80" s="172"/>
      <c r="X80" s="174"/>
      <c r="Y80" s="174"/>
      <c r="Z80" s="174"/>
      <c r="AA80" s="189"/>
    </row>
    <row r="81" spans="1:27" s="159" customFormat="1" x14ac:dyDescent="0.25">
      <c r="A81" s="172"/>
      <c r="B81" s="172"/>
      <c r="C81" s="172"/>
      <c r="D81" s="172"/>
      <c r="E81" s="172"/>
      <c r="F81" s="172"/>
      <c r="G81" s="173"/>
      <c r="H81" s="172"/>
      <c r="I81" s="172"/>
      <c r="J81" s="172"/>
      <c r="K81" s="172"/>
      <c r="L81" s="172"/>
      <c r="M81" s="172"/>
      <c r="N81" s="172"/>
      <c r="O81" s="172"/>
      <c r="P81" s="172"/>
      <c r="Q81" s="172"/>
      <c r="R81" s="172"/>
      <c r="S81" s="172"/>
      <c r="T81" s="172"/>
      <c r="U81" s="172"/>
      <c r="V81" s="172"/>
      <c r="W81" s="172"/>
      <c r="X81" s="174"/>
      <c r="Y81" s="174"/>
      <c r="Z81" s="174"/>
      <c r="AA81" s="189"/>
    </row>
    <row r="82" spans="1:27" s="159" customFormat="1" ht="18.75" thickBot="1" x14ac:dyDescent="0.4">
      <c r="A82" s="175" t="s">
        <v>595</v>
      </c>
      <c r="B82" s="172"/>
      <c r="C82" s="172"/>
      <c r="D82" s="172"/>
      <c r="E82" s="172"/>
      <c r="F82" s="172"/>
      <c r="G82" s="173"/>
      <c r="H82" s="172"/>
      <c r="I82" s="172"/>
      <c r="J82" s="172"/>
      <c r="K82" s="172"/>
      <c r="L82" s="172"/>
      <c r="M82" s="172"/>
      <c r="N82" s="172"/>
      <c r="O82" s="172"/>
      <c r="P82" s="172"/>
      <c r="Q82" s="172"/>
      <c r="R82" s="172"/>
      <c r="S82" s="172"/>
      <c r="T82" s="172"/>
      <c r="U82" s="172"/>
      <c r="V82" s="172"/>
      <c r="W82" s="172"/>
      <c r="X82" s="174"/>
      <c r="Y82" s="174"/>
      <c r="Z82" s="174"/>
      <c r="AA82" s="189"/>
    </row>
    <row r="83" spans="1:27" s="159" customFormat="1" ht="15.75" x14ac:dyDescent="0.3">
      <c r="A83" s="190"/>
      <c r="B83" s="191"/>
      <c r="C83" s="191"/>
      <c r="D83" s="191"/>
      <c r="E83" s="191"/>
      <c r="F83" s="191"/>
      <c r="G83" s="192" t="s">
        <v>583</v>
      </c>
      <c r="H83" s="207">
        <v>4</v>
      </c>
      <c r="I83" s="193" t="s">
        <v>334</v>
      </c>
      <c r="J83" s="172"/>
      <c r="K83" s="172"/>
      <c r="L83" s="172"/>
      <c r="M83" s="172"/>
      <c r="N83" s="172"/>
      <c r="O83" s="172"/>
      <c r="P83" s="172"/>
      <c r="Q83" s="172"/>
      <c r="R83" s="172"/>
      <c r="S83" s="172"/>
      <c r="T83" s="172"/>
      <c r="U83" s="172"/>
      <c r="V83" s="172"/>
      <c r="W83" s="172"/>
      <c r="X83" s="174"/>
      <c r="Y83" s="174"/>
      <c r="Z83" s="174"/>
      <c r="AA83" s="189"/>
    </row>
    <row r="84" spans="1:27" s="159" customFormat="1" ht="15.75" x14ac:dyDescent="0.3">
      <c r="A84" s="196"/>
      <c r="B84" s="172"/>
      <c r="C84" s="172"/>
      <c r="D84" s="172"/>
      <c r="E84" s="172"/>
      <c r="F84" s="172"/>
      <c r="G84" s="176" t="s">
        <v>584</v>
      </c>
      <c r="H84" s="208">
        <v>16</v>
      </c>
      <c r="I84" s="195" t="s">
        <v>335</v>
      </c>
      <c r="J84" s="172"/>
      <c r="K84" s="172"/>
      <c r="L84" s="172"/>
      <c r="M84" s="172"/>
      <c r="N84" s="172"/>
      <c r="O84" s="172"/>
      <c r="P84" s="172"/>
      <c r="Q84" s="172"/>
      <c r="R84" s="172"/>
      <c r="S84" s="172"/>
      <c r="T84" s="172"/>
      <c r="U84" s="172"/>
      <c r="V84" s="172"/>
      <c r="W84" s="172"/>
      <c r="X84" s="174"/>
      <c r="Y84" s="174"/>
      <c r="Z84" s="174"/>
      <c r="AA84" s="189"/>
    </row>
    <row r="85" spans="1:27" s="159" customFormat="1" ht="15.75" x14ac:dyDescent="0.3">
      <c r="A85" s="196"/>
      <c r="B85" s="172"/>
      <c r="C85" s="172"/>
      <c r="D85" s="172"/>
      <c r="E85" s="172"/>
      <c r="F85" s="172"/>
      <c r="G85" s="176" t="s">
        <v>585</v>
      </c>
      <c r="H85" s="208">
        <v>1.1000000000000001</v>
      </c>
      <c r="I85" s="195" t="s">
        <v>335</v>
      </c>
      <c r="J85" s="172"/>
      <c r="K85" s="172"/>
      <c r="L85" s="172"/>
      <c r="M85" s="172"/>
      <c r="N85" s="172"/>
      <c r="O85" s="172"/>
      <c r="P85" s="172"/>
      <c r="Q85" s="172"/>
      <c r="R85" s="172"/>
      <c r="S85" s="172"/>
      <c r="T85" s="172"/>
      <c r="U85" s="172"/>
      <c r="V85" s="172"/>
      <c r="W85" s="172"/>
      <c r="X85" s="174"/>
      <c r="Y85" s="174"/>
      <c r="Z85" s="174"/>
      <c r="AA85" s="189"/>
    </row>
    <row r="86" spans="1:27" s="159" customFormat="1" ht="15.75" x14ac:dyDescent="0.3">
      <c r="A86" s="196"/>
      <c r="B86" s="172"/>
      <c r="C86" s="172"/>
      <c r="D86" s="172"/>
      <c r="E86" s="172"/>
      <c r="F86" s="172"/>
      <c r="G86" s="176" t="s">
        <v>586</v>
      </c>
      <c r="H86" s="208">
        <v>4.3</v>
      </c>
      <c r="I86" s="195" t="s">
        <v>335</v>
      </c>
      <c r="J86" s="172"/>
      <c r="K86" s="172"/>
      <c r="L86" s="172"/>
      <c r="M86" s="172"/>
      <c r="N86" s="172"/>
      <c r="O86" s="172"/>
      <c r="P86" s="172"/>
      <c r="Q86" s="172"/>
      <c r="R86" s="172"/>
      <c r="S86" s="172"/>
      <c r="T86" s="172"/>
      <c r="U86" s="172"/>
      <c r="V86" s="172"/>
      <c r="W86" s="172"/>
      <c r="X86" s="174"/>
      <c r="Y86" s="174"/>
      <c r="Z86" s="174"/>
      <c r="AA86" s="189"/>
    </row>
    <row r="87" spans="1:27" s="159" customFormat="1" ht="15.75" x14ac:dyDescent="0.3">
      <c r="A87" s="196"/>
      <c r="B87" s="172"/>
      <c r="C87" s="172"/>
      <c r="D87" s="172"/>
      <c r="E87" s="172"/>
      <c r="F87" s="172"/>
      <c r="G87" s="176" t="s">
        <v>582</v>
      </c>
      <c r="H87" s="208">
        <v>0.4</v>
      </c>
      <c r="I87" s="195" t="s">
        <v>336</v>
      </c>
      <c r="J87" s="172"/>
      <c r="K87" s="172"/>
      <c r="L87" s="172"/>
      <c r="M87" s="172"/>
      <c r="N87" s="172"/>
      <c r="O87" s="172"/>
      <c r="P87" s="172"/>
      <c r="Q87" s="172"/>
      <c r="R87" s="172"/>
      <c r="S87" s="172"/>
      <c r="T87" s="172"/>
      <c r="U87" s="172"/>
      <c r="V87" s="172"/>
      <c r="W87" s="172"/>
      <c r="X87" s="174"/>
      <c r="Y87" s="174"/>
      <c r="Z87" s="174"/>
      <c r="AA87" s="189"/>
    </row>
    <row r="88" spans="1:27" s="159" customFormat="1" ht="15.75" x14ac:dyDescent="0.3">
      <c r="A88" s="196"/>
      <c r="B88" s="172"/>
      <c r="C88" s="172"/>
      <c r="D88" s="172"/>
      <c r="E88" s="172"/>
      <c r="F88" s="172"/>
      <c r="G88" s="176" t="s">
        <v>581</v>
      </c>
      <c r="H88" s="208">
        <v>1.3</v>
      </c>
      <c r="I88" s="195" t="s">
        <v>10</v>
      </c>
      <c r="J88" s="172"/>
      <c r="K88" s="172"/>
      <c r="L88" s="172"/>
      <c r="M88" s="172"/>
      <c r="N88" s="172"/>
      <c r="O88" s="172"/>
      <c r="P88" s="172"/>
      <c r="Q88" s="172"/>
      <c r="R88" s="172"/>
      <c r="S88" s="172"/>
      <c r="T88" s="172"/>
      <c r="U88" s="172"/>
      <c r="V88" s="172"/>
      <c r="W88" s="172"/>
      <c r="X88" s="174"/>
      <c r="Y88" s="174"/>
      <c r="Z88" s="174"/>
      <c r="AA88" s="189"/>
    </row>
    <row r="89" spans="1:27" s="159" customFormat="1" ht="18" x14ac:dyDescent="0.35">
      <c r="A89" s="196"/>
      <c r="B89" s="172"/>
      <c r="C89" s="172"/>
      <c r="D89" s="172"/>
      <c r="E89" s="172"/>
      <c r="F89" s="172"/>
      <c r="G89" s="173" t="s">
        <v>579</v>
      </c>
      <c r="H89" s="208">
        <v>44</v>
      </c>
      <c r="I89" s="201" t="s">
        <v>335</v>
      </c>
      <c r="J89" s="172"/>
      <c r="K89" s="172"/>
      <c r="L89" s="172"/>
      <c r="M89" s="172"/>
      <c r="N89" s="172"/>
      <c r="O89" s="172"/>
      <c r="P89" s="172"/>
      <c r="Q89" s="172"/>
      <c r="R89" s="172"/>
      <c r="S89" s="172"/>
      <c r="T89" s="172"/>
      <c r="U89" s="172"/>
      <c r="V89" s="172"/>
      <c r="W89" s="172"/>
      <c r="X89" s="174"/>
      <c r="Y89" s="174"/>
      <c r="Z89" s="174"/>
      <c r="AA89" s="189"/>
    </row>
    <row r="90" spans="1:27" s="159" customFormat="1" ht="18.75" thickBot="1" x14ac:dyDescent="0.4">
      <c r="A90" s="197"/>
      <c r="B90" s="198"/>
      <c r="C90" s="198"/>
      <c r="D90" s="198"/>
      <c r="E90" s="198"/>
      <c r="F90" s="198"/>
      <c r="G90" s="202" t="s">
        <v>580</v>
      </c>
      <c r="H90" s="209">
        <v>0.6</v>
      </c>
      <c r="I90" s="203" t="s">
        <v>10</v>
      </c>
      <c r="J90" s="172"/>
      <c r="K90" s="172"/>
      <c r="L90" s="172"/>
      <c r="M90" s="172"/>
      <c r="N90" s="172"/>
      <c r="O90" s="172"/>
      <c r="P90" s="172"/>
      <c r="Q90" s="172"/>
      <c r="R90" s="172"/>
      <c r="S90" s="172"/>
      <c r="T90" s="172"/>
      <c r="U90" s="172"/>
      <c r="V90" s="172"/>
      <c r="W90" s="172"/>
      <c r="X90" s="174"/>
      <c r="Y90" s="174"/>
      <c r="Z90" s="174"/>
      <c r="AA90" s="189"/>
    </row>
    <row r="91" spans="1:27" x14ac:dyDescent="0.25">
      <c r="A91" s="172"/>
      <c r="B91" s="172"/>
      <c r="C91" s="172"/>
      <c r="D91" s="172"/>
      <c r="E91" s="172"/>
      <c r="F91" s="172"/>
      <c r="G91" s="173"/>
      <c r="H91" s="172"/>
      <c r="I91" s="172"/>
      <c r="J91" s="172"/>
      <c r="K91" s="172"/>
      <c r="L91" s="172"/>
      <c r="M91" s="172"/>
      <c r="N91" s="172"/>
      <c r="O91" s="172"/>
      <c r="P91" s="172"/>
      <c r="Q91" s="172"/>
      <c r="R91" s="172"/>
      <c r="S91" s="172"/>
      <c r="T91" s="172"/>
      <c r="U91" s="172"/>
      <c r="V91" s="172"/>
      <c r="W91" s="172"/>
      <c r="X91" s="102"/>
      <c r="Y91" s="102"/>
      <c r="Z91" s="102"/>
      <c r="AA91" s="92"/>
    </row>
    <row r="92" spans="1:27" x14ac:dyDescent="0.25">
      <c r="A92" s="172"/>
      <c r="B92" s="172"/>
      <c r="C92" s="172"/>
      <c r="D92" s="172"/>
      <c r="E92" s="172"/>
      <c r="F92" s="172"/>
      <c r="G92" s="173"/>
      <c r="H92" s="172"/>
      <c r="I92" s="172"/>
      <c r="J92" s="172"/>
      <c r="K92" s="172"/>
      <c r="L92" s="172"/>
      <c r="M92" s="172"/>
      <c r="N92" s="172"/>
      <c r="O92" s="172"/>
      <c r="P92" s="172"/>
      <c r="Q92" s="172"/>
      <c r="R92" s="172"/>
      <c r="S92" s="172"/>
      <c r="T92" s="172"/>
      <c r="U92" s="172"/>
      <c r="V92" s="172"/>
      <c r="W92" s="172"/>
      <c r="X92" s="102"/>
      <c r="Y92" s="102"/>
      <c r="Z92" s="102"/>
      <c r="AA92" s="92"/>
    </row>
    <row r="93" spans="1:27" x14ac:dyDescent="0.25">
      <c r="A93" s="172"/>
      <c r="B93" s="172"/>
      <c r="C93" s="172"/>
      <c r="D93" s="172"/>
      <c r="E93" s="172"/>
      <c r="F93" s="172"/>
      <c r="G93" s="173"/>
      <c r="H93" s="172"/>
      <c r="I93" s="172"/>
      <c r="J93" s="172"/>
      <c r="K93" s="172"/>
      <c r="L93" s="172"/>
      <c r="M93" s="172"/>
      <c r="N93" s="172"/>
      <c r="O93" s="172"/>
      <c r="P93" s="172"/>
      <c r="Q93" s="172"/>
      <c r="R93" s="172"/>
      <c r="S93" s="172"/>
      <c r="T93" s="172"/>
      <c r="U93" s="172"/>
      <c r="V93" s="172"/>
      <c r="W93" s="172"/>
      <c r="X93" s="102"/>
      <c r="Y93" s="102"/>
      <c r="Z93" s="102"/>
      <c r="AA93" s="92"/>
    </row>
    <row r="94" spans="1:27" x14ac:dyDescent="0.25">
      <c r="A94" s="172"/>
      <c r="B94" s="172"/>
      <c r="C94" s="172"/>
      <c r="D94" s="172"/>
      <c r="E94" s="172"/>
      <c r="F94" s="172"/>
      <c r="G94" s="173"/>
      <c r="H94" s="172"/>
      <c r="I94" s="172"/>
      <c r="J94" s="172"/>
      <c r="K94" s="172"/>
      <c r="L94" s="172"/>
      <c r="M94" s="172"/>
      <c r="N94" s="172"/>
      <c r="O94" s="172"/>
      <c r="P94" s="172"/>
      <c r="Q94" s="172"/>
      <c r="R94" s="172"/>
      <c r="S94" s="172"/>
      <c r="T94" s="172"/>
      <c r="U94" s="172"/>
      <c r="V94" s="172"/>
      <c r="W94" s="172"/>
      <c r="X94" s="102"/>
      <c r="Y94" s="102"/>
      <c r="Z94" s="102"/>
      <c r="AA94" s="92"/>
    </row>
    <row r="95" spans="1:27" x14ac:dyDescent="0.25">
      <c r="A95" s="172"/>
      <c r="B95" s="172"/>
      <c r="C95" s="172"/>
      <c r="D95" s="172"/>
      <c r="E95" s="172"/>
      <c r="F95" s="172"/>
      <c r="G95" s="173"/>
      <c r="H95" s="172"/>
      <c r="I95" s="172"/>
      <c r="J95" s="172"/>
      <c r="K95" s="172"/>
      <c r="L95" s="172"/>
      <c r="M95" s="172"/>
      <c r="N95" s="172"/>
      <c r="O95" s="172"/>
      <c r="P95" s="172"/>
      <c r="Q95" s="172"/>
      <c r="R95" s="172"/>
      <c r="S95" s="172"/>
      <c r="T95" s="172"/>
      <c r="U95" s="172"/>
      <c r="V95" s="172"/>
      <c r="W95" s="172"/>
      <c r="X95" s="102"/>
      <c r="Y95" s="102"/>
      <c r="Z95" s="102"/>
      <c r="AA95" s="92"/>
    </row>
    <row r="96" spans="1:27" x14ac:dyDescent="0.25">
      <c r="A96" s="102"/>
      <c r="B96" s="102"/>
      <c r="C96" s="102"/>
      <c r="D96" s="102"/>
      <c r="E96" s="102"/>
      <c r="F96" s="102"/>
      <c r="G96" s="103"/>
      <c r="H96" s="102"/>
      <c r="I96" s="102"/>
      <c r="J96" s="102"/>
      <c r="K96" s="102"/>
      <c r="L96" s="102"/>
      <c r="M96" s="102"/>
      <c r="N96" s="102"/>
      <c r="O96" s="102"/>
      <c r="P96" s="102"/>
      <c r="Q96" s="102"/>
      <c r="R96" s="102"/>
      <c r="S96" s="102"/>
      <c r="T96" s="102"/>
      <c r="U96" s="102"/>
      <c r="V96" s="102"/>
      <c r="W96" s="102"/>
      <c r="X96" s="102"/>
      <c r="Y96" s="102"/>
      <c r="Z96" s="102"/>
      <c r="AA96" s="92"/>
    </row>
    <row r="97" spans="1:27" x14ac:dyDescent="0.25">
      <c r="A97" s="102"/>
      <c r="B97" s="102"/>
      <c r="C97" s="102"/>
      <c r="D97" s="102"/>
      <c r="E97" s="102"/>
      <c r="F97" s="102"/>
      <c r="G97" s="103"/>
      <c r="H97" s="102"/>
      <c r="I97" s="102"/>
      <c r="J97" s="102"/>
      <c r="K97" s="102"/>
      <c r="L97" s="102"/>
      <c r="M97" s="102"/>
      <c r="N97" s="102"/>
      <c r="O97" s="102"/>
      <c r="P97" s="102"/>
      <c r="Q97" s="102"/>
      <c r="R97" s="102"/>
      <c r="S97" s="102"/>
      <c r="T97" s="102"/>
      <c r="U97" s="102"/>
      <c r="V97" s="102"/>
      <c r="W97" s="102"/>
      <c r="X97" s="102"/>
      <c r="Y97" s="102"/>
      <c r="Z97" s="102"/>
      <c r="AA97" s="92"/>
    </row>
    <row r="98" spans="1:27" x14ac:dyDescent="0.25">
      <c r="A98" s="92"/>
      <c r="B98" s="92"/>
      <c r="C98" s="92"/>
      <c r="D98" s="92"/>
      <c r="E98" s="92"/>
      <c r="F98" s="92"/>
      <c r="G98" s="93"/>
      <c r="H98" s="92"/>
      <c r="I98" s="92"/>
      <c r="J98" s="92"/>
      <c r="K98" s="92"/>
      <c r="L98" s="92"/>
      <c r="M98" s="92"/>
      <c r="N98" s="92"/>
      <c r="O98" s="92"/>
      <c r="P98" s="92"/>
      <c r="Q98" s="92"/>
      <c r="R98" s="92"/>
      <c r="S98" s="92"/>
      <c r="T98" s="92"/>
      <c r="U98" s="92"/>
      <c r="V98" s="92"/>
      <c r="W98" s="92"/>
      <c r="X98" s="92"/>
      <c r="Y98" s="92"/>
      <c r="Z98" s="92"/>
      <c r="AA98" s="90"/>
    </row>
  </sheetData>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561975</xdr:colOff>
                    <xdr:row>53</xdr:row>
                    <xdr:rowOff>0</xdr:rowOff>
                  </from>
                  <to>
                    <xdr:col>8</xdr:col>
                    <xdr:colOff>9525</xdr:colOff>
                    <xdr:row>55</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Lists!$F$3:$F$5</xm:f>
          </x14:formula1>
          <xm:sqref>H12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8"/>
  <sheetViews>
    <sheetView zoomScaleNormal="100" workbookViewId="0">
      <pane ySplit="5" topLeftCell="A241" activePane="bottomLeft" state="frozen"/>
      <selection pane="bottomLeft" activeCell="B246" sqref="B246"/>
    </sheetView>
  </sheetViews>
  <sheetFormatPr baseColWidth="10" defaultColWidth="9.140625" defaultRowHeight="15" x14ac:dyDescent="0.25"/>
  <cols>
    <col min="1" max="1" width="28.85546875" customWidth="1"/>
    <col min="2" max="2" width="19.5703125" customWidth="1"/>
    <col min="3" max="3" width="10.85546875" customWidth="1"/>
    <col min="4" max="4" width="10" bestFit="1" customWidth="1"/>
    <col min="5" max="5" width="18.5703125" customWidth="1"/>
    <col min="6" max="6" width="14.85546875" customWidth="1"/>
    <col min="7" max="7" width="15.140625" customWidth="1"/>
    <col min="8" max="9" width="12.5703125" customWidth="1"/>
    <col min="12" max="12" width="12.42578125" bestFit="1" customWidth="1"/>
  </cols>
  <sheetData>
    <row r="1" spans="1:17" ht="27.75" x14ac:dyDescent="0.4">
      <c r="A1" s="213" t="s">
        <v>15</v>
      </c>
      <c r="B1" s="213"/>
      <c r="C1" s="213"/>
      <c r="D1" s="213"/>
      <c r="E1" s="213"/>
      <c r="F1" s="213"/>
      <c r="G1" s="213"/>
      <c r="H1" s="213"/>
      <c r="I1" s="213"/>
      <c r="J1" s="213"/>
    </row>
    <row r="2" spans="1:17" x14ac:dyDescent="0.25">
      <c r="A2" s="5"/>
      <c r="B2" s="5" t="s">
        <v>16</v>
      </c>
      <c r="C2" s="6"/>
      <c r="D2" s="4"/>
      <c r="E2" s="5"/>
      <c r="F2" s="5"/>
      <c r="G2" s="5"/>
      <c r="H2" s="5"/>
      <c r="I2" s="5"/>
      <c r="J2" s="5"/>
    </row>
    <row r="3" spans="1:17" x14ac:dyDescent="0.25">
      <c r="A3" s="5"/>
      <c r="B3" s="5" t="s">
        <v>17</v>
      </c>
      <c r="C3" s="7"/>
      <c r="D3" s="4"/>
      <c r="E3" s="5"/>
      <c r="F3" s="14" t="s">
        <v>60</v>
      </c>
      <c r="G3" s="15" t="s">
        <v>61</v>
      </c>
      <c r="H3" s="24" t="s">
        <v>533</v>
      </c>
      <c r="I3" s="5"/>
      <c r="J3" s="5"/>
    </row>
    <row r="4" spans="1:17" x14ac:dyDescent="0.25">
      <c r="A4" s="5"/>
      <c r="B4" s="5" t="s">
        <v>18</v>
      </c>
      <c r="C4" s="8"/>
      <c r="D4" s="4"/>
      <c r="E4" s="5"/>
      <c r="F4" s="5"/>
      <c r="G4" s="5"/>
      <c r="H4" s="5"/>
      <c r="I4" s="5"/>
      <c r="J4" s="5"/>
    </row>
    <row r="5" spans="1:17" x14ac:dyDescent="0.25">
      <c r="A5" s="9" t="s">
        <v>19</v>
      </c>
      <c r="B5" s="9" t="s">
        <v>20</v>
      </c>
      <c r="C5" s="9" t="s">
        <v>21</v>
      </c>
      <c r="D5" s="4"/>
      <c r="E5" s="214" t="s">
        <v>22</v>
      </c>
      <c r="F5" s="214"/>
      <c r="G5" s="214"/>
      <c r="H5" s="214"/>
      <c r="I5" s="5"/>
      <c r="J5" s="9" t="s">
        <v>23</v>
      </c>
      <c r="K5" s="9" t="s">
        <v>67</v>
      </c>
      <c r="L5" s="4"/>
      <c r="M5" s="4"/>
      <c r="N5" s="4"/>
      <c r="O5" s="4"/>
      <c r="P5" s="4"/>
      <c r="Q5" s="4"/>
    </row>
    <row r="6" spans="1:17" ht="15.75" x14ac:dyDescent="0.25">
      <c r="A6" s="10" t="s">
        <v>24</v>
      </c>
      <c r="B6" s="9"/>
      <c r="C6" s="9"/>
      <c r="D6" s="9"/>
      <c r="E6" s="5"/>
      <c r="F6" s="5"/>
      <c r="G6" s="5"/>
      <c r="H6" s="5"/>
      <c r="I6" s="5"/>
      <c r="J6" s="9"/>
      <c r="K6" s="4"/>
      <c r="L6" s="4"/>
      <c r="M6" s="4"/>
      <c r="N6" s="4"/>
      <c r="O6" s="4"/>
      <c r="P6" s="4"/>
      <c r="Q6" s="4"/>
    </row>
    <row r="7" spans="1:17" x14ac:dyDescent="0.25">
      <c r="A7" t="s">
        <v>25</v>
      </c>
      <c r="B7" s="3">
        <f>'Design Converter'!H7</f>
        <v>11</v>
      </c>
      <c r="C7" t="s">
        <v>10</v>
      </c>
      <c r="E7" t="s">
        <v>28</v>
      </c>
    </row>
    <row r="8" spans="1:17" x14ac:dyDescent="0.25">
      <c r="A8" t="s">
        <v>26</v>
      </c>
      <c r="B8" s="3">
        <f>'Design Converter'!H8</f>
        <v>11</v>
      </c>
      <c r="C8" t="s">
        <v>10</v>
      </c>
      <c r="E8" t="s">
        <v>29</v>
      </c>
      <c r="K8">
        <f>IF(VIN_min&lt;VIN_min,1,IF(VIN_nom&gt;VIN_max,1,0))</f>
        <v>0</v>
      </c>
    </row>
    <row r="9" spans="1:17" x14ac:dyDescent="0.25">
      <c r="A9" t="s">
        <v>27</v>
      </c>
      <c r="B9" s="3">
        <f>'Design Converter'!H9</f>
        <v>22</v>
      </c>
      <c r="C9" t="s">
        <v>10</v>
      </c>
      <c r="E9" t="s">
        <v>30</v>
      </c>
    </row>
    <row r="10" spans="1:17" x14ac:dyDescent="0.25">
      <c r="A10" t="s">
        <v>64</v>
      </c>
      <c r="B10" s="3">
        <f>'Design Converter'!H13*1000</f>
        <v>1000000</v>
      </c>
      <c r="C10" t="s">
        <v>65</v>
      </c>
      <c r="E10" t="s">
        <v>66</v>
      </c>
    </row>
    <row r="11" spans="1:17" x14ac:dyDescent="0.25">
      <c r="A11" t="s">
        <v>68</v>
      </c>
      <c r="B11" s="18">
        <f>((2.21*10^10)/Fsw)-955</f>
        <v>21145</v>
      </c>
      <c r="C11" s="2" t="s">
        <v>36</v>
      </c>
      <c r="E11" t="s">
        <v>69</v>
      </c>
    </row>
    <row r="12" spans="1:17" x14ac:dyDescent="0.25">
      <c r="A12" t="s">
        <v>31</v>
      </c>
      <c r="B12" s="3">
        <f>'Design Converter'!H10</f>
        <v>53.5</v>
      </c>
      <c r="C12" t="s">
        <v>10</v>
      </c>
      <c r="E12" t="s">
        <v>32</v>
      </c>
    </row>
    <row r="13" spans="1:17" x14ac:dyDescent="0.25">
      <c r="A13" t="s">
        <v>33</v>
      </c>
      <c r="B13" s="3">
        <f>'Design Converter'!H11</f>
        <v>6</v>
      </c>
      <c r="C13" t="s">
        <v>11</v>
      </c>
      <c r="E13" t="s">
        <v>34</v>
      </c>
    </row>
    <row r="14" spans="1:17" x14ac:dyDescent="0.25">
      <c r="A14" t="s">
        <v>35</v>
      </c>
      <c r="B14" s="17">
        <f>VOUT/IOUT</f>
        <v>8.9166666666666661</v>
      </c>
      <c r="C14" s="2" t="s">
        <v>36</v>
      </c>
      <c r="E14" t="s">
        <v>41</v>
      </c>
    </row>
    <row r="15" spans="1:17" x14ac:dyDescent="0.25">
      <c r="A15" t="s">
        <v>37</v>
      </c>
      <c r="B15" s="1">
        <f>VOUT*IOUT</f>
        <v>321</v>
      </c>
      <c r="C15" s="2" t="s">
        <v>38</v>
      </c>
      <c r="E15" t="s">
        <v>40</v>
      </c>
    </row>
    <row r="16" spans="1:17" x14ac:dyDescent="0.25">
      <c r="A16" t="s">
        <v>39</v>
      </c>
      <c r="B16" s="11">
        <v>1</v>
      </c>
      <c r="E16" t="s">
        <v>525</v>
      </c>
    </row>
    <row r="17" spans="1:11" x14ac:dyDescent="0.25">
      <c r="A17" t="s">
        <v>531</v>
      </c>
      <c r="B17" s="12">
        <v>1</v>
      </c>
      <c r="E17" t="s">
        <v>532</v>
      </c>
    </row>
    <row r="19" spans="1:11" x14ac:dyDescent="0.25">
      <c r="A19" t="s">
        <v>518</v>
      </c>
      <c r="B19">
        <f>IF(VOUT&lt;=15,1,2)</f>
        <v>2</v>
      </c>
      <c r="E19" t="s">
        <v>520</v>
      </c>
    </row>
    <row r="20" spans="1:11" x14ac:dyDescent="0.25">
      <c r="A20" t="s">
        <v>522</v>
      </c>
      <c r="B20">
        <f>IF('Design Converter'!H12="FPWM",3,IF('Design Converter'!H12="DEM",2,1))</f>
        <v>3</v>
      </c>
      <c r="E20" t="s">
        <v>523</v>
      </c>
    </row>
    <row r="22" spans="1:11" x14ac:dyDescent="0.25">
      <c r="A22" t="s">
        <v>42</v>
      </c>
      <c r="B22" s="1">
        <f>1-VIN_min*EFF_est/VOUT</f>
        <v>0.79439252336448596</v>
      </c>
      <c r="E22" t="s">
        <v>420</v>
      </c>
    </row>
    <row r="23" spans="1:11" x14ac:dyDescent="0.25">
      <c r="A23" t="s">
        <v>43</v>
      </c>
      <c r="B23" s="12">
        <f>Constants!B20-0.02</f>
        <v>0.88</v>
      </c>
      <c r="E23" t="s">
        <v>528</v>
      </c>
    </row>
    <row r="24" spans="1:11" x14ac:dyDescent="0.25">
      <c r="B24" s="160"/>
    </row>
    <row r="25" spans="1:11" x14ac:dyDescent="0.25">
      <c r="A25" t="s">
        <v>424</v>
      </c>
      <c r="B25" s="150">
        <f>IF(B22&gt;Dc_max_IC,1,2)</f>
        <v>2</v>
      </c>
      <c r="E25" t="s">
        <v>526</v>
      </c>
      <c r="K25">
        <f>IF(B25=1,1,0)</f>
        <v>0</v>
      </c>
    </row>
    <row r="26" spans="1:11" x14ac:dyDescent="0.25">
      <c r="E26" t="s">
        <v>527</v>
      </c>
    </row>
    <row r="28" spans="1:11" x14ac:dyDescent="0.25">
      <c r="A28" s="19" t="s">
        <v>72</v>
      </c>
      <c r="E28" t="b">
        <f>AND((1-(VIN_max/VOUT))&lt;Dc_rip_max,(1-(VIN_min/VOUT))&lt;Dc_rip_max)</f>
        <v>0</v>
      </c>
    </row>
    <row r="29" spans="1:11" x14ac:dyDescent="0.25">
      <c r="A29" s="151" t="s">
        <v>426</v>
      </c>
    </row>
    <row r="30" spans="1:11" x14ac:dyDescent="0.25">
      <c r="A30" t="s">
        <v>88</v>
      </c>
      <c r="B30" s="3">
        <f>'Design Converter'!H21/100</f>
        <v>0.6</v>
      </c>
      <c r="E30" t="s">
        <v>107</v>
      </c>
    </row>
    <row r="31" spans="1:11" x14ac:dyDescent="0.25">
      <c r="A31" t="s">
        <v>118</v>
      </c>
      <c r="B31" s="12">
        <v>0.33</v>
      </c>
      <c r="C31" t="s">
        <v>13</v>
      </c>
      <c r="E31" t="s">
        <v>117</v>
      </c>
    </row>
    <row r="32" spans="1:11" x14ac:dyDescent="0.25">
      <c r="A32" t="s">
        <v>425</v>
      </c>
      <c r="B32" s="16">
        <f>IF(AND((1-(VIN_max/VOUT))&lt;Dc_rip_max,(1-(VIN_min/VOUT))&gt;=Dc_rip_max),Dc_rip_max,IF((1-(VIN_max/VOUT))&gt;Dc_rip_max,(1-(VIN_max/VOUT)),IF((1-(VIN_min/VOUT))&lt;Dc_rip_max,(1-(VIN_min/VOUT)),0.33)))</f>
        <v>0.58878504672897192</v>
      </c>
    </row>
    <row r="33" spans="1:5" x14ac:dyDescent="0.25">
      <c r="A33" t="s">
        <v>94</v>
      </c>
      <c r="B33" s="1">
        <f>VOUT*(1-DC_rip)</f>
        <v>22.000000000000004</v>
      </c>
      <c r="C33" t="s">
        <v>10</v>
      </c>
      <c r="E33" t="s">
        <v>120</v>
      </c>
    </row>
    <row r="35" spans="1:5" x14ac:dyDescent="0.25">
      <c r="A35" t="s">
        <v>95</v>
      </c>
      <c r="B35" s="16">
        <f>(VOUT*IOUT)/(VIN_33)</f>
        <v>14.590909090909088</v>
      </c>
      <c r="C35" t="s">
        <v>11</v>
      </c>
      <c r="E35" t="s">
        <v>119</v>
      </c>
    </row>
    <row r="36" spans="1:5" x14ac:dyDescent="0.25">
      <c r="A36" t="s">
        <v>96</v>
      </c>
      <c r="B36" s="23">
        <f>(VIN_33*DC_rip)/(IIN_33*ILrip*Fsw)</f>
        <v>1.4796052056948213E-6</v>
      </c>
      <c r="C36" t="s">
        <v>87</v>
      </c>
      <c r="E36" t="s">
        <v>440</v>
      </c>
    </row>
    <row r="38" spans="1:5" x14ac:dyDescent="0.25">
      <c r="A38" s="151" t="s">
        <v>529</v>
      </c>
    </row>
    <row r="39" spans="1:5" x14ac:dyDescent="0.25">
      <c r="A39" t="s">
        <v>429</v>
      </c>
      <c r="B39" s="3">
        <f>'Design Converter'!H21/100</f>
        <v>0.6</v>
      </c>
      <c r="E39" t="s">
        <v>430</v>
      </c>
    </row>
    <row r="40" spans="1:5" x14ac:dyDescent="0.25">
      <c r="A40" t="s">
        <v>428</v>
      </c>
      <c r="B40" s="23">
        <f>((DC_DCM_max^2)*(VIN_min^2))/(2*IOUT*VOUT*Fsw-2*IOUT*VIN_min*Fsw)</f>
        <v>8.5411764705882346E-8</v>
      </c>
      <c r="C40" t="s">
        <v>87</v>
      </c>
      <c r="E40" t="s">
        <v>427</v>
      </c>
    </row>
    <row r="41" spans="1:5" x14ac:dyDescent="0.25">
      <c r="A41" t="s">
        <v>431</v>
      </c>
      <c r="B41" s="12">
        <v>0.2</v>
      </c>
      <c r="E41" t="s">
        <v>432</v>
      </c>
    </row>
    <row r="42" spans="1:5" x14ac:dyDescent="0.25">
      <c r="A42" t="s">
        <v>433</v>
      </c>
      <c r="B42" s="23">
        <f>(1-M_L_DCM)*((VIN_min^2)*(1-(VIN_min/VOUT)))/(2*IOUT*VOUT*Fsw)</f>
        <v>1.1977756427053309E-7</v>
      </c>
      <c r="C42" t="s">
        <v>87</v>
      </c>
      <c r="E42" t="s">
        <v>434</v>
      </c>
    </row>
    <row r="43" spans="1:5" x14ac:dyDescent="0.25">
      <c r="A43" t="s">
        <v>435</v>
      </c>
      <c r="B43" s="23">
        <f>MIN(B40,B42)</f>
        <v>8.5411764705882346E-8</v>
      </c>
      <c r="C43" t="s">
        <v>87</v>
      </c>
      <c r="E43" t="s">
        <v>436</v>
      </c>
    </row>
    <row r="44" spans="1:5" x14ac:dyDescent="0.25">
      <c r="B44" s="154"/>
    </row>
    <row r="45" spans="1:5" x14ac:dyDescent="0.25">
      <c r="A45" t="s">
        <v>439</v>
      </c>
      <c r="B45" s="23">
        <f>IF(B25=1,B43,Lopt_2)</f>
        <v>1.4796052056948213E-6</v>
      </c>
      <c r="E45" t="s">
        <v>437</v>
      </c>
    </row>
    <row r="47" spans="1:5" x14ac:dyDescent="0.25">
      <c r="A47" t="s">
        <v>89</v>
      </c>
      <c r="B47" s="21">
        <f>CHOOSE(B25,'Design Converter'!H23*10^-9,'Design Converter'!H23*10^-6)</f>
        <v>1.5E-6</v>
      </c>
      <c r="C47" t="s">
        <v>87</v>
      </c>
      <c r="E47" t="s">
        <v>90</v>
      </c>
    </row>
    <row r="48" spans="1:5" x14ac:dyDescent="0.25">
      <c r="A48" t="s">
        <v>91</v>
      </c>
      <c r="B48" s="3">
        <f>'Design Converter'!H24*10^-3</f>
        <v>2.3E-3</v>
      </c>
      <c r="C48" s="2" t="s">
        <v>36</v>
      </c>
      <c r="E48" t="s">
        <v>121</v>
      </c>
    </row>
    <row r="49" spans="1:9" x14ac:dyDescent="0.25">
      <c r="A49" t="s">
        <v>122</v>
      </c>
      <c r="B49" s="12">
        <v>0.2</v>
      </c>
      <c r="C49" s="2"/>
      <c r="E49" t="s">
        <v>123</v>
      </c>
    </row>
    <row r="50" spans="1:9" x14ac:dyDescent="0.25">
      <c r="B50" t="s">
        <v>97</v>
      </c>
    </row>
    <row r="51" spans="1:9" x14ac:dyDescent="0.25">
      <c r="A51" s="31" t="s">
        <v>441</v>
      </c>
    </row>
    <row r="53" spans="1:9" x14ac:dyDescent="0.25">
      <c r="A53" s="22" t="s">
        <v>442</v>
      </c>
    </row>
    <row r="54" spans="1:9" x14ac:dyDescent="0.25">
      <c r="A54" t="s">
        <v>443</v>
      </c>
      <c r="B54">
        <f>IF(B20=3,1,IF((VOUT*IOUT)/(VIN_min*Np)&lt;((VIN_min*(1-(VIN_min/VOUT)))/(2*Lm*Fsw)),0,1))</f>
        <v>1</v>
      </c>
      <c r="E54" t="s">
        <v>534</v>
      </c>
      <c r="I54" s="31"/>
    </row>
    <row r="55" spans="1:9" x14ac:dyDescent="0.25">
      <c r="A55" t="s">
        <v>77</v>
      </c>
      <c r="B55" s="1">
        <f>IF(B54=0,SQRT((2*(IOUT/Np)*Lm*Fsw*(VOUT-VIN_min)/(VIN_min^2))),(1-VIN_min/VOUT))</f>
        <v>0.79439252336448596</v>
      </c>
      <c r="E55" t="s">
        <v>421</v>
      </c>
    </row>
    <row r="56" spans="1:9" x14ac:dyDescent="0.25">
      <c r="B56" s="13">
        <f>B55/Fsw</f>
        <v>7.9439252336448596E-7</v>
      </c>
      <c r="C56" t="s">
        <v>51</v>
      </c>
      <c r="E56" t="s">
        <v>276</v>
      </c>
    </row>
    <row r="57" spans="1:9" x14ac:dyDescent="0.25">
      <c r="A57" t="s">
        <v>82</v>
      </c>
      <c r="B57" s="17">
        <f>(VOUT*IOUT)/(VIN_min)</f>
        <v>29.181818181818183</v>
      </c>
      <c r="C57" t="s">
        <v>11</v>
      </c>
      <c r="E57" t="s">
        <v>84</v>
      </c>
    </row>
    <row r="58" spans="1:9" x14ac:dyDescent="0.25">
      <c r="A58" t="s">
        <v>100</v>
      </c>
      <c r="B58" s="16">
        <f>(VIN_min*Dc_VIN_min)/(Lm*Fsw)</f>
        <v>5.8255451713395638</v>
      </c>
      <c r="C58" t="s">
        <v>11</v>
      </c>
      <c r="E58" t="s">
        <v>101</v>
      </c>
    </row>
    <row r="59" spans="1:9" x14ac:dyDescent="0.25">
      <c r="A59" t="s">
        <v>98</v>
      </c>
      <c r="B59" s="16">
        <f>IF(B54=0,(VIN_min*Dc_VIN_min)/(Lm*Fsw),(IL_avg_VIN_min/EFF_est)+(ILrip_VINmin/2))</f>
        <v>32.094590767487965</v>
      </c>
      <c r="C59" t="s">
        <v>11</v>
      </c>
      <c r="E59" t="s">
        <v>99</v>
      </c>
    </row>
    <row r="61" spans="1:9" x14ac:dyDescent="0.25">
      <c r="A61" s="22" t="s">
        <v>29</v>
      </c>
    </row>
    <row r="62" spans="1:9" x14ac:dyDescent="0.25">
      <c r="A62" t="s">
        <v>444</v>
      </c>
      <c r="B62">
        <f>IF(B20=3,1,IF((VOUT*IOUT)/(VIN_nom*Np)&lt;((VIN_nom*(1-(VIN_nom/VOUT)))/(2*Lm*Fsw)),0,1))</f>
        <v>1</v>
      </c>
      <c r="E62" t="s">
        <v>530</v>
      </c>
    </row>
    <row r="63" spans="1:9" x14ac:dyDescent="0.25">
      <c r="A63" t="s">
        <v>78</v>
      </c>
      <c r="B63" s="1">
        <f>IF(B62=0,SQRT((2*(IOUT/Np)*Lm*Fsw*(VOUT-VIN_nom)/(VIN_nom^2))),(1-VIN_nom/VOUT))</f>
        <v>0.79439252336448596</v>
      </c>
      <c r="E63" t="s">
        <v>422</v>
      </c>
    </row>
    <row r="64" spans="1:9" x14ac:dyDescent="0.25">
      <c r="B64" s="13">
        <f>B63/Fsw</f>
        <v>7.9439252336448596E-7</v>
      </c>
      <c r="C64" t="s">
        <v>51</v>
      </c>
      <c r="E64" t="s">
        <v>276</v>
      </c>
    </row>
    <row r="65" spans="1:5" x14ac:dyDescent="0.25">
      <c r="A65" t="s">
        <v>83</v>
      </c>
      <c r="B65" s="17">
        <f>(VOUT*IOUT)/(VIN_nom)</f>
        <v>29.181818181818183</v>
      </c>
      <c r="C65" t="s">
        <v>11</v>
      </c>
      <c r="E65" t="s">
        <v>85</v>
      </c>
    </row>
    <row r="66" spans="1:5" x14ac:dyDescent="0.25">
      <c r="A66" t="s">
        <v>102</v>
      </c>
      <c r="B66" s="16">
        <f>(VIN_nom*Dc_VIN_nom)/(Lm*Fsw)</f>
        <v>5.8255451713395638</v>
      </c>
      <c r="C66" t="s">
        <v>11</v>
      </c>
      <c r="E66" t="s">
        <v>108</v>
      </c>
    </row>
    <row r="67" spans="1:5" x14ac:dyDescent="0.25">
      <c r="A67" t="s">
        <v>103</v>
      </c>
      <c r="B67" s="16">
        <f>IF(B62=0,(VIN_nom*Dc_VIN_nom)/(Lm*Fsw),(IL_avg_VIN_nom/EFF_est)+(ILrip_VINnom/2))</f>
        <v>32.094590767487965</v>
      </c>
      <c r="C67" t="s">
        <v>11</v>
      </c>
      <c r="E67" t="s">
        <v>109</v>
      </c>
    </row>
    <row r="69" spans="1:5" x14ac:dyDescent="0.25">
      <c r="A69" s="22" t="s">
        <v>30</v>
      </c>
    </row>
    <row r="70" spans="1:5" x14ac:dyDescent="0.25">
      <c r="A70" t="s">
        <v>445</v>
      </c>
      <c r="B70">
        <f>IF(B20=3,1,IF((VOUT*IOUT)/(VIN_max*Np)&lt;((VIN_max*(1-(VIN_max/VOUT)))/(2*Lm*Fsw)),0,1))</f>
        <v>1</v>
      </c>
      <c r="E70" t="s">
        <v>530</v>
      </c>
    </row>
    <row r="71" spans="1:5" x14ac:dyDescent="0.25">
      <c r="A71" t="s">
        <v>79</v>
      </c>
      <c r="B71" s="1">
        <f>IF(B70=0,SQRT((2*(IOUT/Np)*Lm*Fsw*(VOUT-VIN_max)/(VIN_max^2))),(1-VIN_max/VOUT))</f>
        <v>0.58878504672897192</v>
      </c>
      <c r="E71" t="s">
        <v>423</v>
      </c>
    </row>
    <row r="72" spans="1:5" x14ac:dyDescent="0.25">
      <c r="B72" s="13">
        <f>B71/Fsw</f>
        <v>5.8878504672897196E-7</v>
      </c>
      <c r="C72" t="s">
        <v>51</v>
      </c>
      <c r="E72" t="s">
        <v>276</v>
      </c>
    </row>
    <row r="73" spans="1:5" x14ac:dyDescent="0.25">
      <c r="A73" t="s">
        <v>446</v>
      </c>
      <c r="B73" s="17">
        <f>(VOUT*IOUT)/(VIN_max)</f>
        <v>14.590909090909092</v>
      </c>
      <c r="C73" t="s">
        <v>11</v>
      </c>
      <c r="E73" t="s">
        <v>86</v>
      </c>
    </row>
    <row r="74" spans="1:5" x14ac:dyDescent="0.25">
      <c r="A74" t="s">
        <v>104</v>
      </c>
      <c r="B74" s="16">
        <f>(VIN_max*Dc_VIN_max)/(Lm*Fsw)</f>
        <v>8.6355140186915875</v>
      </c>
      <c r="C74" t="s">
        <v>11</v>
      </c>
      <c r="E74" t="s">
        <v>110</v>
      </c>
    </row>
    <row r="75" spans="1:5" x14ac:dyDescent="0.25">
      <c r="A75" t="s">
        <v>105</v>
      </c>
      <c r="B75" s="16">
        <f>IF(B70=0,(VIN_max*Dc_VIN_max)/(Lm*Fsw),(IL_avg_VIN_max/EFF_est)+(ILrip_VINmax/2))</f>
        <v>18.908666100254884</v>
      </c>
      <c r="C75" t="s">
        <v>11</v>
      </c>
      <c r="E75" t="s">
        <v>111</v>
      </c>
    </row>
    <row r="77" spans="1:5" x14ac:dyDescent="0.25">
      <c r="A77" s="19" t="s">
        <v>106</v>
      </c>
    </row>
    <row r="78" spans="1:5" x14ac:dyDescent="0.25">
      <c r="A78" t="s">
        <v>113</v>
      </c>
      <c r="B78" s="3">
        <f>'Design Converter'!H28/100</f>
        <v>0.3</v>
      </c>
      <c r="E78" t="s">
        <v>114</v>
      </c>
    </row>
    <row r="79" spans="1:5" x14ac:dyDescent="0.25">
      <c r="A79" t="s">
        <v>601</v>
      </c>
      <c r="B79" s="12">
        <v>0.95</v>
      </c>
      <c r="E79" t="s">
        <v>602</v>
      </c>
    </row>
    <row r="80" spans="1:5" x14ac:dyDescent="0.25">
      <c r="A80" t="s">
        <v>115</v>
      </c>
      <c r="B80" s="17">
        <f>IF(B54=0,(1+Ipk_margin)*ILp_VINmin,((IL_avg_VIN_min/B79)+(ILrip_VINmin/2))*(1+Ipk_margin))</f>
        <v>43.719618715437704</v>
      </c>
      <c r="C80" t="s">
        <v>11</v>
      </c>
      <c r="E80" t="s">
        <v>116</v>
      </c>
    </row>
    <row r="81" spans="1:11" x14ac:dyDescent="0.25">
      <c r="B81" s="34"/>
    </row>
    <row r="82" spans="1:11" x14ac:dyDescent="0.25">
      <c r="A82" t="s">
        <v>126</v>
      </c>
      <c r="B82" s="12">
        <v>0.66600000000000004</v>
      </c>
      <c r="E82" t="s">
        <v>535</v>
      </c>
    </row>
    <row r="83" spans="1:11" x14ac:dyDescent="0.25">
      <c r="A83" t="s">
        <v>124</v>
      </c>
      <c r="B83" s="23">
        <f>IF(OR(Dc_VIN_min&lt;0.5,B54=0),1000,(Lm*Vsl*Fsw)/(B82*(VOUT-VIN_min)))</f>
        <v>2.3847376788553257E-3</v>
      </c>
      <c r="C83" s="2" t="s">
        <v>36</v>
      </c>
      <c r="E83" t="s">
        <v>125</v>
      </c>
    </row>
    <row r="84" spans="1:11" x14ac:dyDescent="0.25">
      <c r="A84" t="s">
        <v>131</v>
      </c>
      <c r="B84" s="23">
        <f>Vcl/Ipk_selected</f>
        <v>1.3723815935021771E-3</v>
      </c>
      <c r="C84" s="2" t="s">
        <v>36</v>
      </c>
      <c r="E84" t="s">
        <v>492</v>
      </c>
    </row>
    <row r="86" spans="1:11" x14ac:dyDescent="0.25">
      <c r="A86" t="s">
        <v>134</v>
      </c>
      <c r="B86" s="1">
        <f>IF(Rcs_wo_sl&gt;Rcs_max,1,0)</f>
        <v>0</v>
      </c>
      <c r="E86" t="s">
        <v>448</v>
      </c>
    </row>
    <row r="87" spans="1:11" x14ac:dyDescent="0.25">
      <c r="A87" t="s">
        <v>135</v>
      </c>
      <c r="B87" s="25">
        <f>IF(B54=0,Rcs_wo_sl,IF(B86=0,Rcs_wo_sl,Rcs_w_sl))</f>
        <v>1.3723815935021771E-3</v>
      </c>
      <c r="C87" s="2" t="s">
        <v>36</v>
      </c>
      <c r="E87" t="s">
        <v>447</v>
      </c>
    </row>
    <row r="88" spans="1:11" x14ac:dyDescent="0.25">
      <c r="A88" t="s">
        <v>136</v>
      </c>
      <c r="B88" s="1">
        <v>0</v>
      </c>
      <c r="C88" s="2" t="s">
        <v>36</v>
      </c>
      <c r="E88" t="s">
        <v>536</v>
      </c>
    </row>
    <row r="90" spans="1:11" x14ac:dyDescent="0.25">
      <c r="A90" t="s">
        <v>137</v>
      </c>
      <c r="B90" s="26">
        <f>'Design Converter'!H31/1000</f>
        <v>1.5E-3</v>
      </c>
      <c r="C90" s="2" t="s">
        <v>36</v>
      </c>
      <c r="E90" t="s">
        <v>139</v>
      </c>
    </row>
    <row r="91" spans="1:11" x14ac:dyDescent="0.25">
      <c r="A91" t="s">
        <v>138</v>
      </c>
      <c r="B91" s="3">
        <v>0</v>
      </c>
      <c r="C91" s="2" t="s">
        <v>36</v>
      </c>
      <c r="E91" t="s">
        <v>537</v>
      </c>
    </row>
    <row r="93" spans="1:11" x14ac:dyDescent="0.25">
      <c r="A93" t="s">
        <v>142</v>
      </c>
      <c r="B93">
        <f>(Vsl*Fsw)/(((VOUT-VIN_min)/Lm)*R_cs)</f>
        <v>1.0588235294117647</v>
      </c>
      <c r="C93" t="s">
        <v>150</v>
      </c>
      <c r="E93" t="s">
        <v>140</v>
      </c>
      <c r="K93">
        <f>IF(B62=0,0,IF(B93&lt;0.5,1,0))</f>
        <v>0</v>
      </c>
    </row>
    <row r="94" spans="1:11" x14ac:dyDescent="0.25">
      <c r="A94" t="s">
        <v>144</v>
      </c>
      <c r="B94" s="17">
        <f>(Vcl-(Isl*R_sl*Dc_VIN_min))/R_cs</f>
        <v>40</v>
      </c>
      <c r="C94" t="s">
        <v>11</v>
      </c>
      <c r="E94" t="s">
        <v>146</v>
      </c>
      <c r="K94">
        <f>IF(IL_pk&lt;Ipk_selected,1,0)</f>
        <v>1</v>
      </c>
    </row>
    <row r="95" spans="1:11" x14ac:dyDescent="0.25">
      <c r="A95" t="s">
        <v>145</v>
      </c>
      <c r="B95" s="17">
        <f>(Vcl-(Isl*R_sl*Dc_VIN_max))/R_cs</f>
        <v>40</v>
      </c>
      <c r="C95" t="s">
        <v>11</v>
      </c>
      <c r="E95" t="s">
        <v>147</v>
      </c>
    </row>
    <row r="96" spans="1:11" x14ac:dyDescent="0.25">
      <c r="A96" t="s">
        <v>148</v>
      </c>
      <c r="B96" s="12">
        <f>0.15</f>
        <v>0.15</v>
      </c>
      <c r="E96" t="s">
        <v>149</v>
      </c>
    </row>
    <row r="97" spans="1:5" x14ac:dyDescent="0.25">
      <c r="A97" t="s">
        <v>151</v>
      </c>
      <c r="B97" s="20">
        <f>(1+B96)*B95</f>
        <v>46</v>
      </c>
      <c r="C97" t="s">
        <v>11</v>
      </c>
      <c r="E97" t="s">
        <v>152</v>
      </c>
    </row>
    <row r="99" spans="1:5" x14ac:dyDescent="0.25">
      <c r="A99" s="22" t="s">
        <v>153</v>
      </c>
      <c r="E99" t="s">
        <v>538</v>
      </c>
    </row>
    <row r="102" spans="1:5" x14ac:dyDescent="0.25">
      <c r="A102" s="28" t="s">
        <v>154</v>
      </c>
      <c r="E102" t="s">
        <v>549</v>
      </c>
    </row>
    <row r="104" spans="1:5" x14ac:dyDescent="0.25">
      <c r="A104" t="s">
        <v>449</v>
      </c>
      <c r="B104" s="1">
        <f>IF(B54=0,2*Fsw/(Dc_VIN_min*5),(VOUT/IOUT)*((VIN_min^2)/VOUT^2)/(Lm*5))</f>
        <v>50259.605399792315</v>
      </c>
      <c r="C104" t="s">
        <v>489</v>
      </c>
      <c r="E104" t="s">
        <v>540</v>
      </c>
    </row>
    <row r="105" spans="1:5" x14ac:dyDescent="0.25">
      <c r="B105">
        <f>B104/(2*PI())</f>
        <v>7999.0646372250621</v>
      </c>
      <c r="C105" t="s">
        <v>65</v>
      </c>
    </row>
    <row r="106" spans="1:5" x14ac:dyDescent="0.25">
      <c r="A106" t="s">
        <v>160</v>
      </c>
      <c r="B106" s="29">
        <f>'Design Converter'!H35/1000</f>
        <v>0.05</v>
      </c>
      <c r="C106" t="s">
        <v>10</v>
      </c>
      <c r="E106" t="s">
        <v>159</v>
      </c>
    </row>
    <row r="107" spans="1:5" x14ac:dyDescent="0.25">
      <c r="A107" t="s">
        <v>450</v>
      </c>
      <c r="B107" s="1">
        <f>IOUT-0.5*IOUT</f>
        <v>3</v>
      </c>
      <c r="C107" t="s">
        <v>11</v>
      </c>
    </row>
    <row r="108" spans="1:5" x14ac:dyDescent="0.25">
      <c r="A108" t="s">
        <v>161</v>
      </c>
      <c r="B108" s="1">
        <f>B107/(Vout_rip_sel*B104)</f>
        <v>1.193801652892562E-3</v>
      </c>
      <c r="C108" t="s">
        <v>162</v>
      </c>
      <c r="E108" t="s">
        <v>163</v>
      </c>
    </row>
    <row r="109" spans="1:5" x14ac:dyDescent="0.25">
      <c r="A109" t="s">
        <v>164</v>
      </c>
      <c r="B109" s="165">
        <f>SQRT((1-Dc_VIN_min)*((IOUT^2)*(Dc_VIN_min/((1-Dc_VIN_min)^2))+((ILrip_VINmin^2)/3)))</f>
        <v>11.891879910039979</v>
      </c>
      <c r="C109" t="s">
        <v>11</v>
      </c>
      <c r="E109" s="31" t="s">
        <v>541</v>
      </c>
    </row>
    <row r="110" spans="1:5" x14ac:dyDescent="0.25">
      <c r="A110" t="s">
        <v>169</v>
      </c>
      <c r="B110" s="3">
        <f>'Design Converter'!H37*(10^-6)</f>
        <v>2E-3</v>
      </c>
      <c r="C110" t="s">
        <v>162</v>
      </c>
      <c r="E110" t="s">
        <v>167</v>
      </c>
    </row>
    <row r="111" spans="1:5" x14ac:dyDescent="0.25">
      <c r="A111" t="s">
        <v>166</v>
      </c>
      <c r="B111" s="3">
        <f>'Design Converter'!H38/1000</f>
        <v>0.01</v>
      </c>
      <c r="C111" s="2" t="s">
        <v>36</v>
      </c>
      <c r="E111" t="s">
        <v>168</v>
      </c>
    </row>
    <row r="112" spans="1:5" x14ac:dyDescent="0.25">
      <c r="A112" t="s">
        <v>274</v>
      </c>
      <c r="B112" s="166">
        <f>SQRT((IOUT^2)+(IL_avg_VIN_min^2)-(2*IOUT*IL_avg_VIN_min)-(2*Dc_VIN_min*(IOUT^2))-(Dc_VIN_min*(IL_avg_VIN_min^2))+(2*Dc_VIN_min*IOUT*IL_avg_VIN_min))</f>
        <v>9.0495661447754525</v>
      </c>
      <c r="E112" s="164" t="s">
        <v>275</v>
      </c>
    </row>
    <row r="113" spans="1:7" x14ac:dyDescent="0.25">
      <c r="E113" s="72"/>
    </row>
    <row r="115" spans="1:7" x14ac:dyDescent="0.25">
      <c r="A115" s="28" t="s">
        <v>292</v>
      </c>
    </row>
    <row r="116" spans="1:7" x14ac:dyDescent="0.25">
      <c r="A116" t="s">
        <v>278</v>
      </c>
      <c r="B116" s="12">
        <f>Iss</f>
        <v>1.9999999999999998E-5</v>
      </c>
      <c r="C116" t="s">
        <v>11</v>
      </c>
      <c r="E116" t="s">
        <v>280</v>
      </c>
    </row>
    <row r="117" spans="1:7" x14ac:dyDescent="0.25">
      <c r="A117" t="s">
        <v>281</v>
      </c>
      <c r="B117" s="1">
        <f>Iss*VOUT*Cout/(Vref*IOUT)</f>
        <v>3.5666666666666666E-7</v>
      </c>
      <c r="C117" t="s">
        <v>162</v>
      </c>
      <c r="E117" t="s">
        <v>282</v>
      </c>
    </row>
    <row r="118" spans="1:7" x14ac:dyDescent="0.25">
      <c r="A118" t="s">
        <v>283</v>
      </c>
      <c r="B118" s="3">
        <f>'Design Converter'!H42*(10^-3)</f>
        <v>0.01</v>
      </c>
      <c r="C118" t="s">
        <v>51</v>
      </c>
      <c r="E118" t="s">
        <v>284</v>
      </c>
    </row>
    <row r="119" spans="1:7" x14ac:dyDescent="0.25">
      <c r="A119" t="s">
        <v>287</v>
      </c>
      <c r="B119" s="1">
        <f>(tss*Iss)/(Vref*(1-(VIN_min/VOUT)))</f>
        <v>2.5176470588235294E-7</v>
      </c>
      <c r="C119" t="s">
        <v>162</v>
      </c>
      <c r="E119" t="s">
        <v>288</v>
      </c>
    </row>
    <row r="121" spans="1:7" x14ac:dyDescent="0.25">
      <c r="A121" s="28" t="s">
        <v>291</v>
      </c>
    </row>
    <row r="122" spans="1:7" x14ac:dyDescent="0.25">
      <c r="A122" t="s">
        <v>293</v>
      </c>
      <c r="B122" s="3">
        <f>'Design Converter'!H46</f>
        <v>10.5</v>
      </c>
      <c r="C122" t="s">
        <v>10</v>
      </c>
      <c r="E122" t="s">
        <v>295</v>
      </c>
      <c r="G122" s="31"/>
    </row>
    <row r="123" spans="1:7" x14ac:dyDescent="0.25">
      <c r="A123" t="s">
        <v>294</v>
      </c>
      <c r="B123" s="3">
        <f>'Design Converter'!H47</f>
        <v>9.5</v>
      </c>
      <c r="C123" t="s">
        <v>10</v>
      </c>
      <c r="E123" t="s">
        <v>296</v>
      </c>
    </row>
    <row r="124" spans="1:7" x14ac:dyDescent="0.25">
      <c r="A124" t="s">
        <v>298</v>
      </c>
      <c r="B124" s="12">
        <f>UV_rise</f>
        <v>1.1000000000000001</v>
      </c>
      <c r="C124" t="s">
        <v>10</v>
      </c>
      <c r="E124" t="s">
        <v>303</v>
      </c>
    </row>
    <row r="125" spans="1:7" x14ac:dyDescent="0.25">
      <c r="A125" t="s">
        <v>299</v>
      </c>
      <c r="B125" s="12">
        <f>UV_fall</f>
        <v>1.075</v>
      </c>
      <c r="C125" t="s">
        <v>10</v>
      </c>
      <c r="E125" t="s">
        <v>302</v>
      </c>
    </row>
    <row r="126" spans="1:7" x14ac:dyDescent="0.25">
      <c r="A126" t="s">
        <v>304</v>
      </c>
      <c r="B126" s="12">
        <f>UV_I_hyst</f>
        <v>9.9999999999999991E-6</v>
      </c>
      <c r="C126" t="s">
        <v>11</v>
      </c>
      <c r="E126" t="s">
        <v>306</v>
      </c>
      <c r="G126" s="168">
        <f>(Vuvlo_on*0.977)-Vuvlo_off</f>
        <v>0.75849999999999973</v>
      </c>
    </row>
    <row r="127" spans="1:7" x14ac:dyDescent="0.25">
      <c r="A127" t="s">
        <v>307</v>
      </c>
      <c r="B127" s="16">
        <f>((Vuvlo_on*(UV_fall/UV_rise))-Vuvlo_off)/UV_I_hyst</f>
        <v>76136.363636363501</v>
      </c>
      <c r="C127" s="2" t="s">
        <v>36</v>
      </c>
      <c r="E127" t="s">
        <v>394</v>
      </c>
      <c r="G127" s="20">
        <f>B125/B124</f>
        <v>0.97727272727272718</v>
      </c>
    </row>
    <row r="128" spans="1:7" x14ac:dyDescent="0.25">
      <c r="A128" t="s">
        <v>307</v>
      </c>
      <c r="B128" s="3">
        <f>'Design Converter'!H49*1000</f>
        <v>76800</v>
      </c>
      <c r="C128" s="2" t="s">
        <v>36</v>
      </c>
      <c r="E128" t="s">
        <v>395</v>
      </c>
    </row>
    <row r="129" spans="1:7" x14ac:dyDescent="0.25">
      <c r="A129" t="s">
        <v>308</v>
      </c>
      <c r="B129" s="18">
        <f>UV_rise*Ruvlo_top/(Vuvlo_on-UV_rise)</f>
        <v>8987.2340425531911</v>
      </c>
      <c r="C129" s="2" t="s">
        <v>36</v>
      </c>
      <c r="E129" t="s">
        <v>396</v>
      </c>
    </row>
    <row r="130" spans="1:7" x14ac:dyDescent="0.25">
      <c r="A130" t="s">
        <v>309</v>
      </c>
      <c r="B130" s="34">
        <f>UV_rise*(Ruvlo_top+B132)/B132</f>
        <v>10.624239007891772</v>
      </c>
      <c r="E130" t="s">
        <v>311</v>
      </c>
    </row>
    <row r="131" spans="1:7" x14ac:dyDescent="0.25">
      <c r="A131" t="s">
        <v>310</v>
      </c>
      <c r="B131" s="34">
        <f>Ruvlo_top*((UV_fall/Ruvlo_top)-(UV_I_hyst)+(UV_fall/B132))</f>
        <v>9.614779030439685</v>
      </c>
      <c r="E131" t="s">
        <v>312</v>
      </c>
      <c r="G131" s="31"/>
    </row>
    <row r="132" spans="1:7" x14ac:dyDescent="0.25">
      <c r="A132" t="s">
        <v>610</v>
      </c>
      <c r="B132">
        <v>8870</v>
      </c>
    </row>
    <row r="134" spans="1:7" x14ac:dyDescent="0.25">
      <c r="A134" s="28" t="s">
        <v>171</v>
      </c>
    </row>
    <row r="135" spans="1:7" x14ac:dyDescent="0.25">
      <c r="A135" s="32" t="s">
        <v>197</v>
      </c>
      <c r="B135" s="3" t="str">
        <f>'Design Converter'!H54</f>
        <v>11V</v>
      </c>
      <c r="C135" t="s">
        <v>10</v>
      </c>
      <c r="E135" t="s">
        <v>238</v>
      </c>
    </row>
    <row r="136" spans="1:7" x14ac:dyDescent="0.25">
      <c r="A136" s="32"/>
    </row>
    <row r="137" spans="1:7" x14ac:dyDescent="0.25">
      <c r="A137" s="31" t="s">
        <v>252</v>
      </c>
    </row>
    <row r="138" spans="1:7" x14ac:dyDescent="0.25">
      <c r="A138" t="s">
        <v>550</v>
      </c>
      <c r="B138">
        <f>VOUT_range</f>
        <v>2</v>
      </c>
      <c r="E138" t="s">
        <v>520</v>
      </c>
    </row>
    <row r="139" spans="1:7" x14ac:dyDescent="0.25">
      <c r="A139" t="s">
        <v>551</v>
      </c>
      <c r="B139">
        <f>CHOOSE(VOUT_range,Kfb_low,Kfb_high)</f>
        <v>60</v>
      </c>
      <c r="C139" t="s">
        <v>150</v>
      </c>
    </row>
    <row r="140" spans="1:7" x14ac:dyDescent="0.25">
      <c r="A140" t="s">
        <v>558</v>
      </c>
      <c r="B140">
        <f>CHOOSE(VOUT_range,Rmax_low,Rmax_high)</f>
        <v>35000</v>
      </c>
      <c r="C140" t="s">
        <v>469</v>
      </c>
    </row>
    <row r="141" spans="1:7" x14ac:dyDescent="0.25">
      <c r="A141" t="s">
        <v>559</v>
      </c>
      <c r="B141">
        <f>CHOOSE(VOUT_range,Rmin_low,Rmin_high)</f>
        <v>20000</v>
      </c>
      <c r="C141" t="s">
        <v>469</v>
      </c>
    </row>
    <row r="142" spans="1:7" x14ac:dyDescent="0.25">
      <c r="A142" t="s">
        <v>562</v>
      </c>
      <c r="B142" s="1">
        <f>VOUT/Kfb</f>
        <v>0.89166666666666672</v>
      </c>
      <c r="C142" t="s">
        <v>10</v>
      </c>
      <c r="E142" t="s">
        <v>563</v>
      </c>
    </row>
    <row r="143" spans="1:7" x14ac:dyDescent="0.25">
      <c r="A143" t="s">
        <v>560</v>
      </c>
      <c r="B143" s="1">
        <f>((Vref*Rmax)-(VTRK*Rmax))/Vref</f>
        <v>3791.6666666666642</v>
      </c>
      <c r="E143">
        <f>Vref</f>
        <v>1</v>
      </c>
    </row>
    <row r="144" spans="1:7" x14ac:dyDescent="0.25">
      <c r="A144" t="s">
        <v>561</v>
      </c>
      <c r="B144" s="1">
        <f>((Vref*Rmin)-(VTRK*Rmin))/Vref</f>
        <v>2166.6666666666642</v>
      </c>
    </row>
    <row r="145" spans="1:5" x14ac:dyDescent="0.25">
      <c r="A145" t="s">
        <v>189</v>
      </c>
      <c r="B145" s="3">
        <f>'Design Converter'!H60*(10^3)</f>
        <v>3740</v>
      </c>
      <c r="C145" s="2" t="s">
        <v>36</v>
      </c>
      <c r="E145" t="s">
        <v>239</v>
      </c>
    </row>
    <row r="146" spans="1:5" x14ac:dyDescent="0.25">
      <c r="A146" t="s">
        <v>243</v>
      </c>
      <c r="B146" s="18">
        <f>RFBT/((Vref/VTRK)-1)</f>
        <v>30783.076923076947</v>
      </c>
      <c r="C146" s="2" t="s">
        <v>36</v>
      </c>
      <c r="E146" t="s">
        <v>246</v>
      </c>
    </row>
    <row r="147" spans="1:5" x14ac:dyDescent="0.25">
      <c r="A147" t="s">
        <v>190</v>
      </c>
      <c r="B147" s="3">
        <f>'Design Converter'!H62*(10^3)</f>
        <v>30900</v>
      </c>
      <c r="C147" s="2" t="s">
        <v>36</v>
      </c>
      <c r="E147" t="s">
        <v>247</v>
      </c>
    </row>
    <row r="148" spans="1:5" x14ac:dyDescent="0.25">
      <c r="A148" t="s">
        <v>248</v>
      </c>
      <c r="B148">
        <f>VOUT/(RFBB+RFBT)</f>
        <v>1.5444572748267897E-3</v>
      </c>
      <c r="C148" s="2" t="s">
        <v>11</v>
      </c>
      <c r="E148" t="s">
        <v>567</v>
      </c>
    </row>
    <row r="149" spans="1:5" x14ac:dyDescent="0.25">
      <c r="C149" s="2"/>
    </row>
    <row r="150" spans="1:5" x14ac:dyDescent="0.25">
      <c r="A150" s="31" t="s">
        <v>253</v>
      </c>
      <c r="E150" t="s">
        <v>388</v>
      </c>
    </row>
    <row r="152" spans="1:5" x14ac:dyDescent="0.25">
      <c r="A152" s="22" t="s">
        <v>452</v>
      </c>
      <c r="E152" t="s">
        <v>504</v>
      </c>
    </row>
    <row r="153" spans="1:5" x14ac:dyDescent="0.25">
      <c r="A153" s="22"/>
    </row>
    <row r="154" spans="1:5" x14ac:dyDescent="0.25">
      <c r="A154" t="s">
        <v>501</v>
      </c>
      <c r="B154" s="20">
        <f>(R_cs*Acs/(2*Lm*Fsw))*(1-(VIN_min/VOUT))*(VIN_min/VOUT)</f>
        <v>8.1666521093545286E-4</v>
      </c>
      <c r="E154" t="s">
        <v>497</v>
      </c>
    </row>
    <row r="155" spans="1:5" x14ac:dyDescent="0.25">
      <c r="A155" t="s">
        <v>502</v>
      </c>
      <c r="B155" s="20">
        <f>1/((0.5-(1-(VIN_min/VOUT)))*(R_cs*Acs/(Lm*Fsw))+(Vsl*Acs/VOUT))</f>
        <v>182.90598290598294</v>
      </c>
      <c r="E155" t="s">
        <v>497</v>
      </c>
    </row>
    <row r="156" spans="1:5" x14ac:dyDescent="0.25">
      <c r="A156" t="s">
        <v>503</v>
      </c>
      <c r="B156" s="20">
        <f>2+((VOUT*((VIN_min/VOUT)^2))/(IOUT*R_cs*Acs))*((1/Km_VINmin)+(Kex_VINmin/(VIN_min/VOUT)))</f>
        <v>2.2372065488494872</v>
      </c>
      <c r="E156" t="s">
        <v>497</v>
      </c>
    </row>
    <row r="157" spans="1:5" x14ac:dyDescent="0.25">
      <c r="A157" s="22"/>
      <c r="B157" s="20"/>
    </row>
    <row r="158" spans="1:5" x14ac:dyDescent="0.25">
      <c r="A158" s="22"/>
      <c r="B158" s="20"/>
    </row>
    <row r="159" spans="1:5" x14ac:dyDescent="0.25">
      <c r="A159" s="22"/>
      <c r="B159" s="20"/>
    </row>
    <row r="160" spans="1:5" x14ac:dyDescent="0.25">
      <c r="A160" t="s">
        <v>398</v>
      </c>
      <c r="B160" s="20">
        <f>(Gcomp*(VIN_min/VOUT)*(VOUT/IOUT))/(Kd_VINmin*R_cs*Acs/Np)</f>
        <v>54.631621870174037</v>
      </c>
    </row>
    <row r="161" spans="1:5" x14ac:dyDescent="0.25">
      <c r="B161" s="20"/>
    </row>
    <row r="162" spans="1:5" x14ac:dyDescent="0.25">
      <c r="A162" t="s">
        <v>399</v>
      </c>
      <c r="B162" s="20">
        <f>Kd_VINmin/(Cout*(VOUT/IOUT))</f>
        <v>125.45083451492452</v>
      </c>
      <c r="C162" t="s">
        <v>385</v>
      </c>
      <c r="E162" t="s">
        <v>384</v>
      </c>
    </row>
    <row r="163" spans="1:5" x14ac:dyDescent="0.25">
      <c r="A163" t="s">
        <v>400</v>
      </c>
      <c r="B163" s="20">
        <f>B162/(2*PI())</f>
        <v>19.966120428053593</v>
      </c>
      <c r="C163" t="s">
        <v>65</v>
      </c>
      <c r="E163" t="s">
        <v>249</v>
      </c>
    </row>
    <row r="164" spans="1:5" x14ac:dyDescent="0.25">
      <c r="B164" s="20"/>
    </row>
    <row r="165" spans="1:5" x14ac:dyDescent="0.25">
      <c r="A165" t="s">
        <v>401</v>
      </c>
      <c r="B165" s="20">
        <f>1/(Cout*Resr)</f>
        <v>49999.999999999993</v>
      </c>
      <c r="C165" t="s">
        <v>386</v>
      </c>
      <c r="E165" t="s">
        <v>387</v>
      </c>
    </row>
    <row r="166" spans="1:5" x14ac:dyDescent="0.25">
      <c r="A166" t="s">
        <v>402</v>
      </c>
      <c r="B166" s="20">
        <f>B165/(2*PI())</f>
        <v>7957.7471545947656</v>
      </c>
      <c r="C166" t="s">
        <v>65</v>
      </c>
      <c r="E166" t="s">
        <v>251</v>
      </c>
    </row>
    <row r="167" spans="1:5" x14ac:dyDescent="0.25">
      <c r="B167" s="20"/>
    </row>
    <row r="168" spans="1:5" x14ac:dyDescent="0.25">
      <c r="A168" t="s">
        <v>403</v>
      </c>
      <c r="B168" s="20">
        <f>((VOUT/IOUT)*((VIN_min/VOUT)^2))/(Lm)</f>
        <v>251298.02699896158</v>
      </c>
      <c r="E168" t="s">
        <v>383</v>
      </c>
    </row>
    <row r="169" spans="1:5" x14ac:dyDescent="0.25">
      <c r="A169" t="s">
        <v>404</v>
      </c>
      <c r="B169" s="20">
        <f>B168/(2*PI())</f>
        <v>39995.323186125308</v>
      </c>
      <c r="C169" t="s">
        <v>65</v>
      </c>
      <c r="E169" t="s">
        <v>250</v>
      </c>
    </row>
    <row r="170" spans="1:5" x14ac:dyDescent="0.25">
      <c r="B170" s="20">
        <f>Fsw/10</f>
        <v>100000</v>
      </c>
      <c r="C170" t="s">
        <v>65</v>
      </c>
      <c r="E170" t="s">
        <v>256</v>
      </c>
    </row>
    <row r="171" spans="1:5" x14ac:dyDescent="0.25">
      <c r="B171" s="30">
        <f>IF((B169/5)&lt;(B170),0,1)</f>
        <v>0</v>
      </c>
      <c r="E171" t="s">
        <v>257</v>
      </c>
    </row>
    <row r="172" spans="1:5" x14ac:dyDescent="0.25">
      <c r="B172" s="20"/>
    </row>
    <row r="173" spans="1:5" x14ac:dyDescent="0.25">
      <c r="A173" t="s">
        <v>405</v>
      </c>
      <c r="B173" s="20">
        <f>(Vsl*Fsw)</f>
        <v>45000</v>
      </c>
      <c r="C173" t="s">
        <v>150</v>
      </c>
      <c r="E173" t="s">
        <v>505</v>
      </c>
    </row>
    <row r="174" spans="1:5" x14ac:dyDescent="0.25">
      <c r="A174" t="s">
        <v>406</v>
      </c>
      <c r="B174" s="20">
        <f>(R_cs*VIN_min)/Lm</f>
        <v>11000</v>
      </c>
      <c r="C174" t="s">
        <v>150</v>
      </c>
      <c r="E174" t="s">
        <v>214</v>
      </c>
    </row>
    <row r="175" spans="1:5" x14ac:dyDescent="0.25">
      <c r="B175" s="20"/>
    </row>
    <row r="176" spans="1:5" x14ac:dyDescent="0.25">
      <c r="A176" t="s">
        <v>407</v>
      </c>
      <c r="B176" s="20">
        <f>2*PI()*Fsw</f>
        <v>6283185.307179586</v>
      </c>
      <c r="C176" t="s">
        <v>216</v>
      </c>
      <c r="E176" t="s">
        <v>498</v>
      </c>
    </row>
    <row r="177" spans="1:5" x14ac:dyDescent="0.25">
      <c r="A177" t="s">
        <v>408</v>
      </c>
      <c r="B177" s="20">
        <f>1/(PI()*(((VIN_min/VOUT)*(1+(B173/B174)))-0.5))</f>
        <v>0.58220782601137799</v>
      </c>
      <c r="E177" t="s">
        <v>499</v>
      </c>
    </row>
    <row r="178" spans="1:5" x14ac:dyDescent="0.25">
      <c r="B178" s="20"/>
    </row>
    <row r="179" spans="1:5" x14ac:dyDescent="0.25">
      <c r="A179" t="s">
        <v>254</v>
      </c>
      <c r="B179" s="20">
        <f>IF(B171=0,fz_rhp/5,Fsw/10)</f>
        <v>7999.0646372250612</v>
      </c>
      <c r="C179" t="s">
        <v>65</v>
      </c>
      <c r="E179" t="s">
        <v>464</v>
      </c>
    </row>
    <row r="180" spans="1:5" x14ac:dyDescent="0.25">
      <c r="B180" s="29">
        <f>fcross</f>
        <v>10000</v>
      </c>
      <c r="C180" t="s">
        <v>539</v>
      </c>
      <c r="E180" t="s">
        <v>570</v>
      </c>
    </row>
    <row r="181" spans="1:5" x14ac:dyDescent="0.25">
      <c r="A181" t="s">
        <v>261</v>
      </c>
      <c r="B181" s="51">
        <f>SQRT(B163*fcross)</f>
        <v>446.83464982086599</v>
      </c>
      <c r="C181" t="s">
        <v>65</v>
      </c>
      <c r="E181" t="s">
        <v>490</v>
      </c>
    </row>
    <row r="182" spans="1:5" x14ac:dyDescent="0.25">
      <c r="A182" t="s">
        <v>263</v>
      </c>
      <c r="B182" s="30">
        <f>SQRT(fz_rhp*Fsw/2)</f>
        <v>141413.08847862229</v>
      </c>
      <c r="C182" t="s">
        <v>65</v>
      </c>
      <c r="E182" t="s">
        <v>417</v>
      </c>
    </row>
    <row r="184" spans="1:5" x14ac:dyDescent="0.25">
      <c r="A184" t="s">
        <v>509</v>
      </c>
      <c r="B184" s="20">
        <f>10^(-Loop_Modeling!AD7/20)</f>
        <v>5.5391228296761312</v>
      </c>
    </row>
    <row r="185" spans="1:5" x14ac:dyDescent="0.25">
      <c r="A185" t="s">
        <v>507</v>
      </c>
      <c r="B185" s="20">
        <f>SQRT(1+((B179/fp_ea_est)^2))</f>
        <v>1.0015985352699404</v>
      </c>
    </row>
    <row r="186" spans="1:5" x14ac:dyDescent="0.25">
      <c r="A186" t="s">
        <v>508</v>
      </c>
      <c r="B186" s="20">
        <f>SQRT(1+(fz_ea_est/B179)^2)</f>
        <v>1.001559002734804</v>
      </c>
    </row>
    <row r="188" spans="1:5" x14ac:dyDescent="0.25">
      <c r="A188" t="s">
        <v>472</v>
      </c>
      <c r="B188" s="17">
        <f>(fp_ea_est*B184*Kfb)/((fp_ea_est-fz_ea_est)*gm_ea)*(B185/B186)</f>
        <v>333414.00370986073</v>
      </c>
      <c r="C188" s="2" t="s">
        <v>36</v>
      </c>
      <c r="E188" s="31" t="s">
        <v>506</v>
      </c>
    </row>
    <row r="189" spans="1:5" x14ac:dyDescent="0.25">
      <c r="A189" t="s">
        <v>473</v>
      </c>
      <c r="B189" s="155">
        <f>1/(2*PI()*fz_ea_est*Rcomp_calc_CCM)</f>
        <v>1.0682907102715525E-9</v>
      </c>
      <c r="C189" s="2" t="s">
        <v>162</v>
      </c>
    </row>
    <row r="190" spans="1:5" x14ac:dyDescent="0.25">
      <c r="A190" t="s">
        <v>474</v>
      </c>
      <c r="B190" s="155">
        <f>((gm_ea)/(2*PI()*fp_ea_est*B184*Kfb))*(B186/B185)</f>
        <v>3.3862665174517393E-12</v>
      </c>
      <c r="C190" t="s">
        <v>162</v>
      </c>
    </row>
    <row r="193" spans="1:5" x14ac:dyDescent="0.25">
      <c r="A193" s="22" t="s">
        <v>453</v>
      </c>
      <c r="E193" s="31"/>
    </row>
    <row r="195" spans="1:5" x14ac:dyDescent="0.25">
      <c r="A195" t="s">
        <v>459</v>
      </c>
      <c r="B195">
        <f>Fsw/((R_cs*Acs*(VIN_min/Lm))+((R_sl+Rsl_int)*Isl))</f>
        <v>9.0909016528986495</v>
      </c>
      <c r="C195" t="s">
        <v>150</v>
      </c>
      <c r="E195" t="s">
        <v>479</v>
      </c>
    </row>
    <row r="196" spans="1:5" x14ac:dyDescent="0.25">
      <c r="A196" t="s">
        <v>458</v>
      </c>
      <c r="B196">
        <f>(B195*2*VOUT/Dc_VIN_min)*(((VOUT/VIN_min)-1)/((2*VOUT/VIN_min)-1))</f>
        <v>542.09235950019081</v>
      </c>
      <c r="C196" t="s">
        <v>150</v>
      </c>
    </row>
    <row r="197" spans="1:5" x14ac:dyDescent="0.25">
      <c r="A197" t="s">
        <v>460</v>
      </c>
      <c r="B197">
        <f>(IOUT*((2*VOUT)-VIN_min))/(Cout*VOUT*(VOUT-VIN_min))</f>
        <v>126.66300164925782</v>
      </c>
      <c r="C197" t="s">
        <v>385</v>
      </c>
    </row>
    <row r="198" spans="1:5" x14ac:dyDescent="0.25">
      <c r="B198">
        <f>B197/(2*PI())</f>
        <v>20.159042819336275</v>
      </c>
      <c r="C198" t="s">
        <v>65</v>
      </c>
    </row>
    <row r="199" spans="1:5" x14ac:dyDescent="0.25">
      <c r="A199" t="s">
        <v>461</v>
      </c>
      <c r="B199">
        <f>1/(Cout*Resr)</f>
        <v>49999.999999999993</v>
      </c>
      <c r="C199" t="s">
        <v>385</v>
      </c>
    </row>
    <row r="200" spans="1:5" x14ac:dyDescent="0.25">
      <c r="B200">
        <f>B199/(2*PI())</f>
        <v>7957.7471545947656</v>
      </c>
      <c r="C200" t="s">
        <v>65</v>
      </c>
    </row>
    <row r="201" spans="1:5" x14ac:dyDescent="0.25">
      <c r="A201" t="s">
        <v>462</v>
      </c>
      <c r="B201">
        <f>2*Fsw/(Dc_VIN_min)</f>
        <v>2517647.0588235296</v>
      </c>
      <c r="C201" t="s">
        <v>385</v>
      </c>
      <c r="E201" t="s">
        <v>478</v>
      </c>
    </row>
    <row r="202" spans="1:5" x14ac:dyDescent="0.25">
      <c r="B202">
        <f>B201/(2*PI())</f>
        <v>400695.97437253653</v>
      </c>
      <c r="C202" t="s">
        <v>65</v>
      </c>
    </row>
    <row r="204" spans="1:5" x14ac:dyDescent="0.25">
      <c r="A204" t="s">
        <v>463</v>
      </c>
      <c r="B204">
        <f>IF(2*Fsw/(2*PI()*Dc_VIN_min*5)&lt;Fsw/10,2*Fsw/(2*PI()*Dc_VIN_min*5),Fsw/10)</f>
        <v>80139.194874507302</v>
      </c>
      <c r="C204" t="s">
        <v>65</v>
      </c>
      <c r="E204" t="s">
        <v>569</v>
      </c>
    </row>
    <row r="205" spans="1:5" x14ac:dyDescent="0.25">
      <c r="B205" s="29">
        <f>fcross</f>
        <v>10000</v>
      </c>
      <c r="C205" t="s">
        <v>539</v>
      </c>
      <c r="E205" t="s">
        <v>570</v>
      </c>
    </row>
    <row r="206" spans="1:5" x14ac:dyDescent="0.25">
      <c r="A206" t="s">
        <v>261</v>
      </c>
      <c r="B206" s="51">
        <f>SQRT(B198*fcross)</f>
        <v>448.98822723247741</v>
      </c>
      <c r="C206" t="s">
        <v>65</v>
      </c>
    </row>
    <row r="207" spans="1:5" x14ac:dyDescent="0.25">
      <c r="A207" t="s">
        <v>263</v>
      </c>
      <c r="B207" s="30">
        <f>Fsw/2</f>
        <v>500000</v>
      </c>
      <c r="C207" t="s">
        <v>65</v>
      </c>
    </row>
    <row r="209" spans="1:5" x14ac:dyDescent="0.25">
      <c r="A209" t="s">
        <v>509</v>
      </c>
      <c r="B209" s="20">
        <f>10^(-Loop_Modeling!AQ7/20)</f>
        <v>1.7979293864838988</v>
      </c>
    </row>
    <row r="210" spans="1:5" x14ac:dyDescent="0.25">
      <c r="A210" t="s">
        <v>507</v>
      </c>
      <c r="B210" s="20">
        <f>SQRT(1+((fcross/B207)^2))</f>
        <v>1.0001999800039989</v>
      </c>
    </row>
    <row r="211" spans="1:5" x14ac:dyDescent="0.25">
      <c r="A211" t="s">
        <v>508</v>
      </c>
      <c r="B211" s="20">
        <f>SQRT(1+(B206/fcross)^2)</f>
        <v>1.0010074446685866</v>
      </c>
    </row>
    <row r="214" spans="1:5" x14ac:dyDescent="0.25">
      <c r="A214" t="s">
        <v>466</v>
      </c>
      <c r="B214">
        <f>(B207*B209*Kfb)/((B207-B206)*gm_ea)*(B210/B211)</f>
        <v>107885.62373800793</v>
      </c>
      <c r="C214" t="s">
        <v>469</v>
      </c>
      <c r="E214" t="s">
        <v>260</v>
      </c>
    </row>
    <row r="215" spans="1:5" x14ac:dyDescent="0.25">
      <c r="A215" t="s">
        <v>470</v>
      </c>
      <c r="B215">
        <f>1/(2*PI()*B206*RCOMP_CALC_DCM)</f>
        <v>3.2856522874072237E-9</v>
      </c>
      <c r="C215" t="s">
        <v>162</v>
      </c>
      <c r="E215" t="s">
        <v>467</v>
      </c>
    </row>
    <row r="216" spans="1:5" x14ac:dyDescent="0.25">
      <c r="A216" t="s">
        <v>471</v>
      </c>
      <c r="B216">
        <f>((gm_ea)/(2*PI()*B207*Kfb))*(B211/B210)</f>
        <v>5.309447646331538E-12</v>
      </c>
      <c r="C216" t="s">
        <v>162</v>
      </c>
      <c r="E216" t="s">
        <v>468</v>
      </c>
    </row>
    <row r="217" spans="1:5" ht="16.5" customHeight="1" x14ac:dyDescent="0.25"/>
    <row r="218" spans="1:5" ht="16.5" customHeight="1" x14ac:dyDescent="0.25">
      <c r="A218" s="152" t="s">
        <v>465</v>
      </c>
    </row>
    <row r="219" spans="1:5" x14ac:dyDescent="0.25">
      <c r="B219">
        <f>IF(B54=0,B204,B179)</f>
        <v>7999.0646372250612</v>
      </c>
      <c r="C219" t="s">
        <v>65</v>
      </c>
      <c r="E219" t="s">
        <v>568</v>
      </c>
    </row>
    <row r="220" spans="1:5" x14ac:dyDescent="0.25">
      <c r="A220" t="s">
        <v>254</v>
      </c>
      <c r="B220" s="3">
        <f>'Design Converter'!H65*1000</f>
        <v>10000</v>
      </c>
      <c r="C220" t="s">
        <v>65</v>
      </c>
      <c r="E220" t="s">
        <v>255</v>
      </c>
    </row>
    <row r="222" spans="1:5" x14ac:dyDescent="0.25">
      <c r="A222" t="s">
        <v>259</v>
      </c>
      <c r="B222">
        <f>IF(B54=0,RCOMP_CALC_DCM,Rcomp_calc_CCM)</f>
        <v>333414.00370986073</v>
      </c>
    </row>
    <row r="223" spans="1:5" x14ac:dyDescent="0.25">
      <c r="A223" t="s">
        <v>180</v>
      </c>
      <c r="B223" s="3">
        <f>'Design Converter'!H68*1000</f>
        <v>220000</v>
      </c>
      <c r="C223" s="2" t="s">
        <v>36</v>
      </c>
      <c r="E223" t="s">
        <v>186</v>
      </c>
    </row>
    <row r="224" spans="1:5" x14ac:dyDescent="0.25">
      <c r="A224" t="s">
        <v>262</v>
      </c>
      <c r="B224">
        <f>IF(B54=0,CCOMP_CALC_DCM,CCOMP_calc_CCM)</f>
        <v>1.0682907102715525E-9</v>
      </c>
    </row>
    <row r="225" spans="1:5" x14ac:dyDescent="0.25">
      <c r="A225" t="s">
        <v>184</v>
      </c>
      <c r="B225" s="3">
        <f>'Design Converter'!H69*(10^-9)</f>
        <v>1.5000000000000002E-9</v>
      </c>
      <c r="C225" t="s">
        <v>162</v>
      </c>
      <c r="E225" t="s">
        <v>187</v>
      </c>
    </row>
    <row r="226" spans="1:5" x14ac:dyDescent="0.25">
      <c r="A226" t="s">
        <v>475</v>
      </c>
      <c r="B226">
        <f>IF(B54=0,CHF_CALC_DCM,CHF_CALC_CCM)</f>
        <v>3.3862665174517393E-12</v>
      </c>
    </row>
    <row r="227" spans="1:5" x14ac:dyDescent="0.25">
      <c r="A227" t="s">
        <v>185</v>
      </c>
      <c r="B227" s="3">
        <f>'Design Converter'!H70*(10^-12)</f>
        <v>2.1999999999999998E-11</v>
      </c>
      <c r="C227" t="s">
        <v>162</v>
      </c>
      <c r="E227" t="s">
        <v>188</v>
      </c>
    </row>
    <row r="229" spans="1:5" x14ac:dyDescent="0.25">
      <c r="A229" s="28" t="s">
        <v>320</v>
      </c>
    </row>
    <row r="230" spans="1:5" x14ac:dyDescent="0.25">
      <c r="A230" s="28" t="s">
        <v>338</v>
      </c>
    </row>
    <row r="231" spans="1:5" x14ac:dyDescent="0.25">
      <c r="A231" s="86" t="s">
        <v>392</v>
      </c>
      <c r="E231" t="s">
        <v>393</v>
      </c>
    </row>
    <row r="236" spans="1:5" x14ac:dyDescent="0.25">
      <c r="A236" s="28" t="s">
        <v>575</v>
      </c>
    </row>
    <row r="237" spans="1:5" ht="15.75" x14ac:dyDescent="0.3">
      <c r="A237" t="s">
        <v>347</v>
      </c>
      <c r="B237" s="3">
        <f>'Design Converter'!H75*(10^-3)</f>
        <v>4.0000000000000001E-3</v>
      </c>
      <c r="C237" s="2" t="s">
        <v>36</v>
      </c>
      <c r="E237" s="78" t="s">
        <v>327</v>
      </c>
    </row>
    <row r="238" spans="1:5" ht="15.75" x14ac:dyDescent="0.3">
      <c r="A238" t="s">
        <v>339</v>
      </c>
      <c r="B238" s="3">
        <f>'Design Converter'!H76*(10^-9)</f>
        <v>1.6000000000000001E-8</v>
      </c>
      <c r="C238" t="s">
        <v>162</v>
      </c>
      <c r="E238" s="78" t="s">
        <v>328</v>
      </c>
    </row>
    <row r="239" spans="1:5" ht="15.75" x14ac:dyDescent="0.3">
      <c r="A239" t="s">
        <v>341</v>
      </c>
      <c r="B239" s="3">
        <f>'Design Converter'!H77*(10^-9)</f>
        <v>1.1000000000000001E-9</v>
      </c>
      <c r="C239" t="s">
        <v>162</v>
      </c>
      <c r="E239" s="78" t="s">
        <v>329</v>
      </c>
    </row>
    <row r="240" spans="1:5" ht="15.75" x14ac:dyDescent="0.3">
      <c r="A240" t="s">
        <v>340</v>
      </c>
      <c r="B240" s="3">
        <f>'Design Converter'!H78*(10^-9)</f>
        <v>4.3000000000000005E-9</v>
      </c>
      <c r="C240" t="s">
        <v>162</v>
      </c>
      <c r="E240" s="78" t="s">
        <v>330</v>
      </c>
    </row>
    <row r="241" spans="1:8" ht="15.75" x14ac:dyDescent="0.3">
      <c r="A241" t="s">
        <v>342</v>
      </c>
      <c r="B241" s="3">
        <f>'Design Converter'!H79</f>
        <v>0.4</v>
      </c>
      <c r="C241" s="2" t="s">
        <v>36</v>
      </c>
      <c r="E241" s="78" t="s">
        <v>331</v>
      </c>
    </row>
    <row r="242" spans="1:8" x14ac:dyDescent="0.25">
      <c r="A242" t="s">
        <v>348</v>
      </c>
      <c r="B242" s="12">
        <v>1.7</v>
      </c>
      <c r="C242" s="2"/>
      <c r="E242" s="78" t="s">
        <v>349</v>
      </c>
      <c r="H242" t="s">
        <v>358</v>
      </c>
    </row>
    <row r="243" spans="1:8" ht="15.75" x14ac:dyDescent="0.3">
      <c r="A243" t="s">
        <v>343</v>
      </c>
      <c r="B243" s="187">
        <v>90</v>
      </c>
      <c r="C243" s="2" t="s">
        <v>337</v>
      </c>
      <c r="E243" s="78" t="s">
        <v>332</v>
      </c>
    </row>
    <row r="244" spans="1:8" ht="15.75" x14ac:dyDescent="0.3">
      <c r="A244" t="s">
        <v>344</v>
      </c>
      <c r="B244" s="3">
        <f>'Design Converter'!H80</f>
        <v>1.3</v>
      </c>
      <c r="C244" s="2" t="s">
        <v>10</v>
      </c>
      <c r="E244" s="78" t="s">
        <v>333</v>
      </c>
    </row>
    <row r="245" spans="1:8" x14ac:dyDescent="0.25">
      <c r="A245" t="s">
        <v>354</v>
      </c>
      <c r="B245" s="12">
        <f>Vcc</f>
        <v>5</v>
      </c>
      <c r="C245" s="2" t="s">
        <v>10</v>
      </c>
      <c r="E245" s="78" t="s">
        <v>359</v>
      </c>
    </row>
    <row r="246" spans="1:8" x14ac:dyDescent="0.25">
      <c r="A246" t="s">
        <v>611</v>
      </c>
      <c r="B246">
        <v>3.3</v>
      </c>
      <c r="C246" s="2"/>
      <c r="E246" s="78"/>
    </row>
    <row r="247" spans="1:8" x14ac:dyDescent="0.25">
      <c r="A247" t="s">
        <v>612</v>
      </c>
      <c r="B247" s="154">
        <v>3.1E-9</v>
      </c>
      <c r="C247" s="2"/>
      <c r="E247" s="78"/>
    </row>
    <row r="248" spans="1:8" x14ac:dyDescent="0.25">
      <c r="A248" t="s">
        <v>350</v>
      </c>
      <c r="B248" s="25">
        <f>Vth+(((VOUT*IOUT)/VIN_min)/gfs)</f>
        <v>1.6242424242424243</v>
      </c>
      <c r="C248" s="2" t="s">
        <v>10</v>
      </c>
      <c r="E248" s="78" t="s">
        <v>351</v>
      </c>
    </row>
    <row r="249" spans="1:8" x14ac:dyDescent="0.25">
      <c r="A249" t="s">
        <v>360</v>
      </c>
      <c r="B249" s="23">
        <f>(Qgd+(Qgs-B247))*((Rgate+B242+B246)/(Vcc-B248))</f>
        <v>3.6791741472172361E-9</v>
      </c>
      <c r="C249" s="2" t="s">
        <v>51</v>
      </c>
      <c r="E249" s="78" t="s">
        <v>352</v>
      </c>
    </row>
    <row r="250" spans="1:8" ht="15.75" thickBot="1" x14ac:dyDescent="0.3">
      <c r="A250" t="s">
        <v>361</v>
      </c>
      <c r="B250" s="23">
        <f>(Qgd+(Qgs-B247))*((B242+Rgate)/B248)</f>
        <v>2.9736940298507475E-9</v>
      </c>
      <c r="C250" t="s">
        <v>51</v>
      </c>
      <c r="E250" s="79" t="s">
        <v>353</v>
      </c>
    </row>
    <row r="253" spans="1:8" x14ac:dyDescent="0.25">
      <c r="A253" s="28" t="s">
        <v>576</v>
      </c>
    </row>
    <row r="254" spans="1:8" ht="15.75" x14ac:dyDescent="0.3">
      <c r="A254" t="s">
        <v>347</v>
      </c>
      <c r="B254" s="3">
        <f>'Design Converter'!H83*(10^-3)</f>
        <v>4.0000000000000001E-3</v>
      </c>
      <c r="C254" s="2" t="s">
        <v>36</v>
      </c>
      <c r="E254" s="78" t="s">
        <v>327</v>
      </c>
    </row>
    <row r="255" spans="1:8" ht="15.75" x14ac:dyDescent="0.3">
      <c r="A255" t="s">
        <v>339</v>
      </c>
      <c r="B255" s="3">
        <f>'Design Converter'!H84*(10^-9)</f>
        <v>1.6000000000000001E-8</v>
      </c>
      <c r="C255" t="s">
        <v>162</v>
      </c>
      <c r="E255" s="78" t="s">
        <v>328</v>
      </c>
    </row>
    <row r="256" spans="1:8" ht="15.75" x14ac:dyDescent="0.3">
      <c r="A256" t="s">
        <v>341</v>
      </c>
      <c r="B256" s="3">
        <f>'Design Converter'!H85*(10^-9)</f>
        <v>1.1000000000000001E-9</v>
      </c>
      <c r="C256" t="s">
        <v>162</v>
      </c>
      <c r="E256" s="78" t="s">
        <v>329</v>
      </c>
    </row>
    <row r="257" spans="1:5" ht="15.75" x14ac:dyDescent="0.3">
      <c r="A257" t="s">
        <v>340</v>
      </c>
      <c r="B257" s="3">
        <f>'Design Converter'!H86*(10^-9)</f>
        <v>4.3000000000000005E-9</v>
      </c>
      <c r="C257" t="s">
        <v>162</v>
      </c>
      <c r="E257" s="78" t="s">
        <v>330</v>
      </c>
    </row>
    <row r="258" spans="1:5" ht="15.75" x14ac:dyDescent="0.3">
      <c r="A258" t="s">
        <v>342</v>
      </c>
      <c r="B258" s="3">
        <f>'Design Converter'!H87</f>
        <v>0.4</v>
      </c>
      <c r="C258" s="2" t="s">
        <v>36</v>
      </c>
      <c r="E258" s="78" t="s">
        <v>331</v>
      </c>
    </row>
    <row r="259" spans="1:5" x14ac:dyDescent="0.25">
      <c r="A259" t="s">
        <v>348</v>
      </c>
      <c r="B259" s="12">
        <v>1.7</v>
      </c>
      <c r="C259" s="2"/>
      <c r="E259" s="78" t="s">
        <v>349</v>
      </c>
    </row>
    <row r="260" spans="1:5" ht="15.75" x14ac:dyDescent="0.3">
      <c r="A260" t="s">
        <v>343</v>
      </c>
      <c r="B260" s="187">
        <v>90</v>
      </c>
      <c r="C260" s="2" t="s">
        <v>337</v>
      </c>
      <c r="E260" s="78" t="s">
        <v>332</v>
      </c>
    </row>
    <row r="261" spans="1:5" ht="15.75" x14ac:dyDescent="0.3">
      <c r="A261" t="s">
        <v>344</v>
      </c>
      <c r="B261" s="3">
        <f>'Design Converter'!H88</f>
        <v>1.3</v>
      </c>
      <c r="C261" s="2" t="s">
        <v>10</v>
      </c>
      <c r="E261" s="78" t="s">
        <v>333</v>
      </c>
    </row>
    <row r="262" spans="1:5" x14ac:dyDescent="0.25">
      <c r="A262" t="s">
        <v>354</v>
      </c>
      <c r="B262" s="12">
        <f>Vcc</f>
        <v>5</v>
      </c>
      <c r="C262" s="2" t="s">
        <v>10</v>
      </c>
      <c r="E262" s="78" t="s">
        <v>359</v>
      </c>
    </row>
    <row r="263" spans="1:5" x14ac:dyDescent="0.25">
      <c r="A263" t="s">
        <v>346</v>
      </c>
      <c r="B263" s="3">
        <f>'Design Converter'!H89*10^-9</f>
        <v>4.4000000000000004E-8</v>
      </c>
      <c r="C263" t="s">
        <v>345</v>
      </c>
      <c r="E263" t="s">
        <v>577</v>
      </c>
    </row>
    <row r="264" spans="1:5" x14ac:dyDescent="0.25">
      <c r="A264" t="s">
        <v>321</v>
      </c>
      <c r="B264" s="3">
        <f>'Design Converter'!H90</f>
        <v>0.6</v>
      </c>
      <c r="C264" t="s">
        <v>10</v>
      </c>
      <c r="E264" t="s">
        <v>578</v>
      </c>
    </row>
    <row r="265" spans="1:5" x14ac:dyDescent="0.25">
      <c r="A265" t="s">
        <v>611</v>
      </c>
      <c r="B265">
        <v>3.3</v>
      </c>
      <c r="C265" s="2"/>
      <c r="E265" s="78"/>
    </row>
    <row r="266" spans="1:5" x14ac:dyDescent="0.25">
      <c r="A266" t="s">
        <v>350</v>
      </c>
      <c r="B266" s="25">
        <f>Vth+(((VOUT*IOUT)/VIN_min)/B260)</f>
        <v>1.6242424242424243</v>
      </c>
      <c r="C266" s="2" t="s">
        <v>10</v>
      </c>
      <c r="E266" s="78" t="s">
        <v>351</v>
      </c>
    </row>
    <row r="267" spans="1:5" x14ac:dyDescent="0.25">
      <c r="A267" t="s">
        <v>360</v>
      </c>
      <c r="B267" s="1">
        <f>(B256+(B257/2))*((B258+B259+B265)/(Vcc-B266))</f>
        <v>5.198833034111311E-9</v>
      </c>
      <c r="C267" s="2" t="s">
        <v>51</v>
      </c>
      <c r="E267" s="78" t="s">
        <v>352</v>
      </c>
    </row>
    <row r="268" spans="1:5" ht="15.75" thickBot="1" x14ac:dyDescent="0.3">
      <c r="A268" t="s">
        <v>361</v>
      </c>
      <c r="B268" s="1">
        <f>(Qgd+(Qgs/2))*((B259+Rgate)/B266)</f>
        <v>4.2019589552238808E-9</v>
      </c>
      <c r="C268" t="s">
        <v>51</v>
      </c>
      <c r="E268" s="79" t="s">
        <v>353</v>
      </c>
    </row>
  </sheetData>
  <mergeCells count="2">
    <mergeCell ref="A1:J1"/>
    <mergeCell ref="E5:H5"/>
  </mergeCells>
  <pageMargins left="0.7" right="0.7" top="0.75" bottom="0.75" header="0.3" footer="0.3"/>
  <pageSetup orientation="portrait" r:id="rId1"/>
  <ignoredErrors>
    <ignoredError sqref="B199 B201" formula="1"/>
  </ignoredErrors>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57150</xdr:colOff>
                <xdr:row>110</xdr:row>
                <xdr:rowOff>0</xdr:rowOff>
              </from>
              <to>
                <xdr:col>13</xdr:col>
                <xdr:colOff>19050</xdr:colOff>
                <xdr:row>112</xdr:row>
                <xdr:rowOff>28575</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W157"/>
  <sheetViews>
    <sheetView topLeftCell="Z1" zoomScaleNormal="100" workbookViewId="0">
      <pane ySplit="6" topLeftCell="A7" activePane="bottomLeft" state="frozen"/>
      <selection activeCell="R1" sqref="R1"/>
      <selection pane="bottomLeft" activeCell="AN7" sqref="AN7"/>
    </sheetView>
  </sheetViews>
  <sheetFormatPr baseColWidth="10" defaultColWidth="9.140625" defaultRowHeight="15" x14ac:dyDescent="0.25"/>
  <cols>
    <col min="10" max="10" width="10" bestFit="1" customWidth="1"/>
    <col min="18" max="18" width="8.85546875"/>
    <col min="21" max="21" width="8.85546875"/>
    <col min="24" max="24" width="8.85546875"/>
    <col min="25" max="25" width="12" bestFit="1" customWidth="1"/>
    <col min="28" max="28" width="8.85546875"/>
    <col min="30" max="30" width="8.85546875"/>
    <col min="35" max="35" width="8.85546875"/>
    <col min="39" max="39" width="11" bestFit="1" customWidth="1"/>
    <col min="40" max="40" width="11" customWidth="1"/>
    <col min="43" max="44" width="8.7109375"/>
    <col min="45" max="46" width="8.85546875"/>
  </cols>
  <sheetData>
    <row r="1" spans="1:49" ht="27.75" x14ac:dyDescent="0.4">
      <c r="A1" s="213" t="s">
        <v>15</v>
      </c>
      <c r="B1" s="213"/>
      <c r="C1" s="213"/>
      <c r="D1" s="213"/>
      <c r="E1" s="213"/>
      <c r="F1" s="213"/>
      <c r="G1" s="213"/>
      <c r="H1" s="213"/>
      <c r="I1" s="213"/>
      <c r="J1" s="213"/>
      <c r="K1" s="213"/>
      <c r="L1" s="213"/>
      <c r="M1" s="213"/>
    </row>
    <row r="4" spans="1:49" ht="15.75" thickBot="1" x14ac:dyDescent="0.3">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row>
    <row r="5" spans="1:49" ht="30" x14ac:dyDescent="0.25">
      <c r="R5" s="219" t="s">
        <v>314</v>
      </c>
      <c r="S5" s="220"/>
      <c r="T5" s="220"/>
      <c r="U5" s="221"/>
      <c r="V5" s="219" t="s">
        <v>315</v>
      </c>
      <c r="W5" s="220"/>
      <c r="X5" s="221"/>
      <c r="Y5" s="219" t="s">
        <v>379</v>
      </c>
      <c r="Z5" s="220"/>
      <c r="AA5" s="220"/>
      <c r="AB5" s="220"/>
      <c r="AC5" s="220"/>
      <c r="AD5" s="221"/>
      <c r="AE5" s="219" t="s">
        <v>573</v>
      </c>
      <c r="AF5" s="220"/>
      <c r="AG5" s="220"/>
      <c r="AH5" s="220"/>
      <c r="AI5" s="221"/>
      <c r="AJ5" s="219" t="s">
        <v>574</v>
      </c>
      <c r="AK5" s="220"/>
      <c r="AL5" s="220"/>
      <c r="AM5" s="220"/>
      <c r="AN5" s="222"/>
      <c r="AO5" s="221"/>
      <c r="AP5" s="215" t="s">
        <v>376</v>
      </c>
      <c r="AQ5" s="216"/>
      <c r="AR5" s="216"/>
      <c r="AS5" s="217"/>
      <c r="AT5" s="218"/>
      <c r="AU5" s="83" t="s">
        <v>369</v>
      </c>
      <c r="AV5" s="84"/>
      <c r="AW5" s="85"/>
    </row>
    <row r="6" spans="1:49" ht="18" x14ac:dyDescent="0.35">
      <c r="R6" s="73" t="s">
        <v>31</v>
      </c>
      <c r="S6" s="71" t="s">
        <v>33</v>
      </c>
      <c r="T6" s="71" t="s">
        <v>270</v>
      </c>
      <c r="U6" s="74" t="s">
        <v>273</v>
      </c>
      <c r="V6" s="73" t="s">
        <v>271</v>
      </c>
      <c r="W6" s="71" t="s">
        <v>272</v>
      </c>
      <c r="X6" s="74" t="s">
        <v>319</v>
      </c>
      <c r="Y6" s="73" t="s">
        <v>316</v>
      </c>
      <c r="Z6" s="71" t="s">
        <v>318</v>
      </c>
      <c r="AA6" s="71" t="s">
        <v>317</v>
      </c>
      <c r="AB6" s="80" t="s">
        <v>323</v>
      </c>
      <c r="AC6" s="80" t="s">
        <v>324</v>
      </c>
      <c r="AD6" s="82" t="s">
        <v>367</v>
      </c>
      <c r="AE6" s="73" t="s">
        <v>362</v>
      </c>
      <c r="AF6" s="71" t="s">
        <v>363</v>
      </c>
      <c r="AG6" s="80" t="s">
        <v>365</v>
      </c>
      <c r="AH6" s="80" t="s">
        <v>364</v>
      </c>
      <c r="AI6" s="82" t="s">
        <v>366</v>
      </c>
      <c r="AJ6" s="73" t="s">
        <v>322</v>
      </c>
      <c r="AK6" s="71" t="s">
        <v>587</v>
      </c>
      <c r="AL6" s="71" t="s">
        <v>325</v>
      </c>
      <c r="AM6" s="71" t="s">
        <v>326</v>
      </c>
      <c r="AN6" s="188" t="s">
        <v>588</v>
      </c>
      <c r="AO6" s="74" t="s">
        <v>591</v>
      </c>
      <c r="AP6" s="73" t="s">
        <v>368</v>
      </c>
      <c r="AQ6" s="206" t="s">
        <v>324</v>
      </c>
      <c r="AR6" s="206" t="s">
        <v>593</v>
      </c>
      <c r="AS6" s="71" t="s">
        <v>371</v>
      </c>
      <c r="AT6" s="74" t="s">
        <v>372</v>
      </c>
      <c r="AU6" s="73" t="s">
        <v>370</v>
      </c>
      <c r="AV6" s="71" t="s">
        <v>378</v>
      </c>
      <c r="AW6" s="74" t="s">
        <v>377</v>
      </c>
    </row>
    <row r="7" spans="1:49" x14ac:dyDescent="0.25">
      <c r="Q7">
        <v>0</v>
      </c>
      <c r="R7" s="73">
        <f t="shared" ref="R7:R70" si="0">VOUT</f>
        <v>53.5</v>
      </c>
      <c r="S7" s="71">
        <f t="shared" ref="S7:S38" si="1">Q7*$O$12</f>
        <v>0</v>
      </c>
      <c r="T7" s="71">
        <f t="shared" ref="T7:T70" si="2">VIN_var</f>
        <v>11</v>
      </c>
      <c r="U7" s="74">
        <f t="shared" ref="U7:U38" si="3">(R7*S7)/(T7*EFF_est)</f>
        <v>0</v>
      </c>
      <c r="V7" s="73">
        <f>IF(Variable_Management!$B$20=3,2,IF((S7*R7/T7)&lt;((T7*(1-(T7/R7)))/(2*Lm*Fsw)),1,2))</f>
        <v>2</v>
      </c>
      <c r="W7" s="71">
        <f>CHOOSE(V7,SQRT((2*S7*Lm*Fsw*(R7-T7))/((T7)^2)),1-(T7/R7))</f>
        <v>0.79439252336448596</v>
      </c>
      <c r="X7" s="74">
        <f t="shared" ref="X7:X38" si="4">CHOOSE(V7,(Lm*Z7*Fsw)/(R7-T7),1-W7)</f>
        <v>0.20560747663551404</v>
      </c>
      <c r="Y7" s="73">
        <f t="shared" ref="Y7:Y38" si="5">(T7*W7)/(Lm*Fsw)</f>
        <v>5.8255451713395638</v>
      </c>
      <c r="Z7" s="71">
        <f>CHOOSE(V7,Y7,U7+(0.5*Y7))</f>
        <v>2.9127725856697819</v>
      </c>
      <c r="AA7" s="71">
        <f>CHOOSE(V7,Z7*SQRT((W7+X7)/3),SQRT((U7^2)+((Y7^2)/12)))</f>
        <v>1.6816900364246108</v>
      </c>
      <c r="AB7" s="71">
        <v>0</v>
      </c>
      <c r="AC7" s="71">
        <f t="shared" ref="AC7:AC38" si="6">(AA7^2)*Rdcr</f>
        <v>6.5045871708025605E-3</v>
      </c>
      <c r="AD7" s="74">
        <f>AB7+AC7</f>
        <v>6.5045871708025605E-3</v>
      </c>
      <c r="AE7" s="73">
        <f>U7*W7</f>
        <v>0</v>
      </c>
      <c r="AF7" s="71">
        <f>CHOOSE(V7,Z7*SQRT(W7/3),SQRT(W7*((Z7^2)+((Y7^2)/3)-(Z7*Y7))))</f>
        <v>1.4988684740943619</v>
      </c>
      <c r="AG7" s="71">
        <f t="shared" ref="AG7:AG38" si="7">(AF7^2)*RDS_on</f>
        <v>8.9864268105358421E-3</v>
      </c>
      <c r="AH7" s="71">
        <f>((R7*U7)/2)*Fsw*(tr_sw+tf_sw)</f>
        <v>0</v>
      </c>
      <c r="AI7" s="74">
        <f>AG7+AH7</f>
        <v>8.9864268105358421E-3</v>
      </c>
      <c r="AJ7" s="73">
        <f>X7*U7</f>
        <v>0</v>
      </c>
      <c r="AK7" s="71">
        <f>CHOOSE(V7,Z7*SQRT(X7/3),SQRT(X7*((Z7^2)+((Y7^2)/3)-(Y7*Z7))))</f>
        <v>0.76254486817225953</v>
      </c>
      <c r="AL7" s="71">
        <f t="shared" ref="AL7:AL38" si="8">(AK7^2)*RDS_on_HS</f>
        <v>2.3258987039033946E-3</v>
      </c>
      <c r="AM7" s="71">
        <f>CHOOSE(V7,0,(R7+Vd_rect)*Qrr*Fsw)</f>
        <v>2.3804000000000003</v>
      </c>
      <c r="AN7" s="188">
        <f>Vd_rect*t_dead*Fsw*Z7</f>
        <v>3.4953271028037386E-2</v>
      </c>
      <c r="AO7" s="74">
        <f>AL7+AM7+AN7</f>
        <v>2.4176791697319411</v>
      </c>
      <c r="AP7" s="73">
        <f>(AA7^2)*R_cs</f>
        <v>4.2421220679147139E-3</v>
      </c>
      <c r="AQ7" s="206">
        <f t="shared" ref="AQ7:AQ38" si="9">Rdcr*AA7^2</f>
        <v>6.5045871708025605E-3</v>
      </c>
      <c r="AR7" s="206">
        <f t="shared" ref="AR7:AR38" si="10">ABS(7.759*10^-3*Fsw^0.9458*(0.00787*Y7)^2.304)</f>
        <v>3.0218089420955812</v>
      </c>
      <c r="AS7" s="71">
        <f t="shared" ref="AS7:AS38" si="11">(Qg_tot+Qg_tot_HS)*Vcc*Fsw</f>
        <v>0.16</v>
      </c>
      <c r="AT7" s="74">
        <f t="shared" ref="AT7:AT38" si="12">IQ*T7</f>
        <v>3.6299999999999995E-5</v>
      </c>
      <c r="AU7" s="73">
        <f>AP7+AO7+AI7+AD7+AS7+AT7+AQ7+AR7</f>
        <v>5.6257621350475784</v>
      </c>
      <c r="AV7" s="71">
        <f>R7*S7</f>
        <v>0</v>
      </c>
      <c r="AW7" s="74">
        <f>(AV7/(AV7+AU7))*100</f>
        <v>0</v>
      </c>
    </row>
    <row r="8" spans="1:49" x14ac:dyDescent="0.25">
      <c r="M8">
        <f>Fsw</f>
        <v>1000000</v>
      </c>
      <c r="Q8">
        <v>1</v>
      </c>
      <c r="R8" s="73">
        <f t="shared" si="0"/>
        <v>53.5</v>
      </c>
      <c r="S8" s="71">
        <f t="shared" si="1"/>
        <v>0.04</v>
      </c>
      <c r="T8" s="71">
        <f t="shared" si="2"/>
        <v>11</v>
      </c>
      <c r="U8" s="74">
        <f t="shared" si="3"/>
        <v>0.19454545454545455</v>
      </c>
      <c r="V8" s="73">
        <f>IF(Variable_Management!$B$20=3,2,IF((S8*R8/T8)&lt;((T8*(1-(T8/R8)))/(2*Lm*Fsw)),1,2))</f>
        <v>2</v>
      </c>
      <c r="W8" s="71">
        <f t="shared" ref="W8:W38" si="13">CHOOSE(V8,SQRT((2*S8*Lm*Fsw*(R8-T8))/((T8)^2)),1-(T8/R8))</f>
        <v>0.79439252336448596</v>
      </c>
      <c r="X8" s="74">
        <f t="shared" si="4"/>
        <v>0.20560747663551404</v>
      </c>
      <c r="Y8" s="73">
        <f t="shared" si="5"/>
        <v>5.8255451713395638</v>
      </c>
      <c r="Z8" s="71">
        <f t="shared" ref="Z8:Z15" si="14">CHOOSE(V8,Y8,U8+(0.5*Y8))</f>
        <v>3.1073180402152363</v>
      </c>
      <c r="AA8" s="71">
        <f t="shared" ref="AA8:AA15" si="15">CHOOSE(V8,Z8*SQRT((W8+X8)/3),SQRT((U8^2)+((Y8^2)/12)))</f>
        <v>1.6929055828645927</v>
      </c>
      <c r="AB8" s="71">
        <v>0</v>
      </c>
      <c r="AC8" s="71">
        <f t="shared" si="6"/>
        <v>6.5916374187364448E-3</v>
      </c>
      <c r="AD8" s="74">
        <f t="shared" ref="AD8:AD71" si="16">AB8+AC8</f>
        <v>6.5916374187364448E-3</v>
      </c>
      <c r="AE8" s="73">
        <f>U8*W8</f>
        <v>0.15454545454545454</v>
      </c>
      <c r="AF8" s="71">
        <f t="shared" ref="AF8:AF71" si="17">CHOOSE(V8,Z8*SQRT(W8/3),SQRT(W8*((Z8^2)+((Y8^2)/3)-(Z8*Y8))))</f>
        <v>1.5088647448782277</v>
      </c>
      <c r="AG8" s="71">
        <f t="shared" si="7"/>
        <v>9.1066912733457576E-3</v>
      </c>
      <c r="AH8" s="71">
        <f t="shared" ref="AH8:AH38" si="18">((R8*U8)/2)*Fsw*(tr_sw+tf_sw)</f>
        <v>3.4622130799659701E-2</v>
      </c>
      <c r="AI8" s="74">
        <f t="shared" ref="AI8:AI71" si="19">AG8+AH8</f>
        <v>4.3728822073005456E-2</v>
      </c>
      <c r="AJ8" s="73">
        <f t="shared" ref="AJ8:AJ71" si="20">X8*U8</f>
        <v>4.0000000000000008E-2</v>
      </c>
      <c r="AK8" s="71">
        <f t="shared" ref="AK8:AK38" si="21">CHOOSE(V8,Z8*SQRT(X8/3),SQRT(X8*((Z8^2)+((Y8^2)/3)-(Y8*Z8))))</f>
        <v>0.76763044113535961</v>
      </c>
      <c r="AL8" s="71">
        <f t="shared" si="8"/>
        <v>2.3570259766306674E-3</v>
      </c>
      <c r="AM8" s="71">
        <f t="shared" ref="AM8:AM39" si="22">CHOOSE(V8,(R8+Vd_rect)*Qrr*Fsw,(R8+Vd_rect)*Qrr*Fsw)</f>
        <v>2.3804000000000003</v>
      </c>
      <c r="AN8" s="188">
        <f t="shared" ref="AN8:AN38" si="23">Vd_rect*t_dead*Fsw*Z8</f>
        <v>3.7287816482582836E-2</v>
      </c>
      <c r="AO8" s="74">
        <f t="shared" ref="AO8:AO71" si="24">AL8+AM8+AN8</f>
        <v>2.4200448424592138</v>
      </c>
      <c r="AP8" s="73">
        <f t="shared" ref="AP8:AP38" si="25">(AA8^2)*R_cs</f>
        <v>4.29889396874116E-3</v>
      </c>
      <c r="AQ8" s="206">
        <f t="shared" si="9"/>
        <v>6.5916374187364448E-3</v>
      </c>
      <c r="AR8" s="206">
        <f t="shared" si="10"/>
        <v>3.0218089420955812</v>
      </c>
      <c r="AS8" s="71">
        <f t="shared" si="11"/>
        <v>0.16</v>
      </c>
      <c r="AT8" s="74">
        <f t="shared" si="12"/>
        <v>3.6299999999999995E-5</v>
      </c>
      <c r="AU8" s="73">
        <f t="shared" ref="AU8:AU71" si="26">AP8+AO8+AI8+AD8+AS8+AT8+AQ8+AR8</f>
        <v>5.6631010754340139</v>
      </c>
      <c r="AV8" s="71">
        <f t="shared" ref="AV8:AV71" si="27">R8*S8</f>
        <v>2.14</v>
      </c>
      <c r="AW8" s="74">
        <f t="shared" ref="AW8:AW71" si="28">(AV8/(AV8+AU8))*100</f>
        <v>27.424993977551054</v>
      </c>
    </row>
    <row r="9" spans="1:49" x14ac:dyDescent="0.25">
      <c r="N9" s="71" t="s">
        <v>198</v>
      </c>
      <c r="O9" s="71">
        <f>VIN_var</f>
        <v>11</v>
      </c>
      <c r="P9" t="s">
        <v>10</v>
      </c>
      <c r="Q9">
        <v>2</v>
      </c>
      <c r="R9" s="73">
        <f t="shared" si="0"/>
        <v>53.5</v>
      </c>
      <c r="S9" s="71">
        <f t="shared" si="1"/>
        <v>0.08</v>
      </c>
      <c r="T9" s="71">
        <f t="shared" si="2"/>
        <v>11</v>
      </c>
      <c r="U9" s="74">
        <f t="shared" si="3"/>
        <v>0.3890909090909091</v>
      </c>
      <c r="V9" s="73">
        <f>IF(Variable_Management!$B$20=3,2,IF((S9*R9/T9)&lt;((T9*(1-(T9/R9)))/(2*Lm*Fsw)),1,2))</f>
        <v>2</v>
      </c>
      <c r="W9" s="71">
        <f t="shared" si="13"/>
        <v>0.79439252336448596</v>
      </c>
      <c r="X9" s="74">
        <f t="shared" si="4"/>
        <v>0.20560747663551404</v>
      </c>
      <c r="Y9" s="73">
        <f t="shared" si="5"/>
        <v>5.8255451713395638</v>
      </c>
      <c r="Z9" s="71">
        <f t="shared" si="14"/>
        <v>3.3018634947606911</v>
      </c>
      <c r="AA9" s="71">
        <f t="shared" si="15"/>
        <v>1.7261150350272136</v>
      </c>
      <c r="AB9" s="71">
        <v>0</v>
      </c>
      <c r="AC9" s="71">
        <f t="shared" si="6"/>
        <v>6.8527881625380978E-3</v>
      </c>
      <c r="AD9" s="74">
        <f t="shared" si="16"/>
        <v>6.8527881625380978E-3</v>
      </c>
      <c r="AE9" s="73">
        <f t="shared" ref="AE9:AE72" si="29">U9*W9</f>
        <v>0.30909090909090908</v>
      </c>
      <c r="AF9" s="71">
        <f t="shared" si="17"/>
        <v>1.5384638979982199</v>
      </c>
      <c r="AG9" s="71">
        <f t="shared" si="7"/>
        <v>9.4674846617755094E-3</v>
      </c>
      <c r="AH9" s="71">
        <f t="shared" si="18"/>
        <v>6.9244261599319401E-2</v>
      </c>
      <c r="AI9" s="74">
        <f t="shared" si="19"/>
        <v>7.8711746261094909E-2</v>
      </c>
      <c r="AJ9" s="73">
        <f t="shared" si="20"/>
        <v>8.0000000000000016E-2</v>
      </c>
      <c r="AK9" s="71">
        <f t="shared" si="21"/>
        <v>0.78268892205212737</v>
      </c>
      <c r="AL9" s="71">
        <f t="shared" si="8"/>
        <v>2.4504077948124844E-3</v>
      </c>
      <c r="AM9" s="71">
        <f t="shared" si="22"/>
        <v>2.3804000000000003</v>
      </c>
      <c r="AN9" s="188">
        <f t="shared" si="23"/>
        <v>3.9622361937128293E-2</v>
      </c>
      <c r="AO9" s="74">
        <f t="shared" si="24"/>
        <v>2.4224727697319413</v>
      </c>
      <c r="AP9" s="73">
        <f t="shared" si="25"/>
        <v>4.4692096712204985E-3</v>
      </c>
      <c r="AQ9" s="206">
        <f t="shared" si="9"/>
        <v>6.8527881625380978E-3</v>
      </c>
      <c r="AR9" s="206">
        <f t="shared" si="10"/>
        <v>3.0218089420955812</v>
      </c>
      <c r="AS9" s="71">
        <f t="shared" si="11"/>
        <v>0.16</v>
      </c>
      <c r="AT9" s="74">
        <f t="shared" si="12"/>
        <v>3.6299999999999995E-5</v>
      </c>
      <c r="AU9" s="73">
        <f t="shared" si="26"/>
        <v>5.7012045440849146</v>
      </c>
      <c r="AV9" s="71">
        <f t="shared" si="27"/>
        <v>4.28</v>
      </c>
      <c r="AW9" s="74">
        <f t="shared" si="28"/>
        <v>42.8805960352393</v>
      </c>
    </row>
    <row r="10" spans="1:49" x14ac:dyDescent="0.25">
      <c r="N10" s="71"/>
      <c r="O10" s="71"/>
      <c r="Q10">
        <v>3</v>
      </c>
      <c r="R10" s="73">
        <f t="shared" si="0"/>
        <v>53.5</v>
      </c>
      <c r="S10" s="71">
        <f t="shared" si="1"/>
        <v>0.12</v>
      </c>
      <c r="T10" s="71">
        <f t="shared" si="2"/>
        <v>11</v>
      </c>
      <c r="U10" s="74">
        <f t="shared" si="3"/>
        <v>0.58363636363636362</v>
      </c>
      <c r="V10" s="73">
        <f>IF(Variable_Management!$B$20=3,2,IF((S10*R10/T10)&lt;((T10*(1-(T10/R10)))/(2*Lm*Fsw)),1,2))</f>
        <v>2</v>
      </c>
      <c r="W10" s="71">
        <f t="shared" si="13"/>
        <v>0.79439252336448596</v>
      </c>
      <c r="X10" s="74">
        <f t="shared" si="4"/>
        <v>0.20560747663551404</v>
      </c>
      <c r="Y10" s="73">
        <f t="shared" si="5"/>
        <v>5.8255451713395638</v>
      </c>
      <c r="Z10" s="71">
        <f t="shared" si="14"/>
        <v>3.4964089493061454</v>
      </c>
      <c r="AA10" s="71">
        <f t="shared" si="15"/>
        <v>1.7800878583846604</v>
      </c>
      <c r="AB10" s="71">
        <v>0</v>
      </c>
      <c r="AC10" s="71">
        <f t="shared" si="6"/>
        <v>7.2880394022075195E-3</v>
      </c>
      <c r="AD10" s="74">
        <f t="shared" si="16"/>
        <v>7.2880394022075195E-3</v>
      </c>
      <c r="AE10" s="73">
        <f t="shared" si="29"/>
        <v>0.46363636363636362</v>
      </c>
      <c r="AF10" s="71">
        <f t="shared" si="17"/>
        <v>1.5865691740218175</v>
      </c>
      <c r="AG10" s="71">
        <f t="shared" si="7"/>
        <v>1.0068806975825089E-2</v>
      </c>
      <c r="AH10" s="71">
        <f t="shared" si="18"/>
        <v>0.1038663923989791</v>
      </c>
      <c r="AI10" s="74">
        <f t="shared" si="19"/>
        <v>0.11393519937480419</v>
      </c>
      <c r="AJ10" s="73">
        <f t="shared" si="20"/>
        <v>0.12000000000000001</v>
      </c>
      <c r="AK10" s="71">
        <f t="shared" si="21"/>
        <v>0.80716233783063229</v>
      </c>
      <c r="AL10" s="71">
        <f t="shared" si="8"/>
        <v>2.6060441584488474E-3</v>
      </c>
      <c r="AM10" s="71">
        <f t="shared" si="22"/>
        <v>2.3804000000000003</v>
      </c>
      <c r="AN10" s="188">
        <f t="shared" si="23"/>
        <v>4.1956907391673744E-2</v>
      </c>
      <c r="AO10" s="74">
        <f t="shared" si="24"/>
        <v>2.424962951550123</v>
      </c>
      <c r="AP10" s="73">
        <f t="shared" si="25"/>
        <v>4.7530691753527301E-3</v>
      </c>
      <c r="AQ10" s="206">
        <f t="shared" si="9"/>
        <v>7.2880394022075195E-3</v>
      </c>
      <c r="AR10" s="206">
        <f t="shared" si="10"/>
        <v>3.0218089420955812</v>
      </c>
      <c r="AS10" s="71">
        <f t="shared" si="11"/>
        <v>0.16</v>
      </c>
      <c r="AT10" s="74">
        <f t="shared" si="12"/>
        <v>3.6299999999999995E-5</v>
      </c>
      <c r="AU10" s="73">
        <f t="shared" si="26"/>
        <v>5.7400725410002771</v>
      </c>
      <c r="AV10" s="71">
        <f t="shared" si="27"/>
        <v>6.42</v>
      </c>
      <c r="AW10" s="74">
        <f t="shared" si="28"/>
        <v>52.795737676346924</v>
      </c>
    </row>
    <row r="11" spans="1:49" x14ac:dyDescent="0.25">
      <c r="N11" s="71" t="s">
        <v>268</v>
      </c>
      <c r="O11" s="71">
        <v>150</v>
      </c>
      <c r="Q11">
        <v>4</v>
      </c>
      <c r="R11" s="73">
        <f t="shared" si="0"/>
        <v>53.5</v>
      </c>
      <c r="S11" s="71">
        <f t="shared" si="1"/>
        <v>0.16</v>
      </c>
      <c r="T11" s="71">
        <f t="shared" si="2"/>
        <v>11</v>
      </c>
      <c r="U11" s="74">
        <f t="shared" si="3"/>
        <v>0.7781818181818182</v>
      </c>
      <c r="V11" s="73">
        <f>IF(Variable_Management!$B$20=3,2,IF((S11*R11/T11)&lt;((T11*(1-(T11/R11)))/(2*Lm*Fsw)),1,2))</f>
        <v>2</v>
      </c>
      <c r="W11" s="71">
        <f t="shared" si="13"/>
        <v>0.79439252336448596</v>
      </c>
      <c r="X11" s="74">
        <f t="shared" si="4"/>
        <v>0.20560747663551404</v>
      </c>
      <c r="Y11" s="73">
        <f t="shared" si="5"/>
        <v>5.8255451713395638</v>
      </c>
      <c r="Z11" s="71">
        <f t="shared" si="14"/>
        <v>3.6909544038516002</v>
      </c>
      <c r="AA11" s="71">
        <f t="shared" si="15"/>
        <v>1.8530106099962216</v>
      </c>
      <c r="AB11" s="71">
        <v>0</v>
      </c>
      <c r="AC11" s="71">
        <f t="shared" si="6"/>
        <v>7.8973911377447099E-3</v>
      </c>
      <c r="AD11" s="74">
        <f t="shared" si="16"/>
        <v>7.8973911377447099E-3</v>
      </c>
      <c r="AE11" s="73">
        <f t="shared" si="29"/>
        <v>0.61818181818181817</v>
      </c>
      <c r="AF11" s="71">
        <f t="shared" si="17"/>
        <v>1.6515642748236086</v>
      </c>
      <c r="AG11" s="71">
        <f t="shared" si="7"/>
        <v>1.0910658215494529E-2</v>
      </c>
      <c r="AH11" s="71">
        <f t="shared" si="18"/>
        <v>0.1384885231986388</v>
      </c>
      <c r="AI11" s="74">
        <f t="shared" si="19"/>
        <v>0.14939918141413333</v>
      </c>
      <c r="AJ11" s="73">
        <f t="shared" si="20"/>
        <v>0.16000000000000003</v>
      </c>
      <c r="AK11" s="71">
        <f t="shared" si="21"/>
        <v>0.84022840161764345</v>
      </c>
      <c r="AL11" s="71">
        <f t="shared" si="8"/>
        <v>2.8239350675397599E-3</v>
      </c>
      <c r="AM11" s="71">
        <f t="shared" si="22"/>
        <v>2.3804000000000003</v>
      </c>
      <c r="AN11" s="188">
        <f t="shared" si="23"/>
        <v>4.4291452846219201E-2</v>
      </c>
      <c r="AO11" s="74">
        <f t="shared" si="24"/>
        <v>2.427515387913759</v>
      </c>
      <c r="AP11" s="73">
        <f t="shared" si="25"/>
        <v>5.1504724811378541E-3</v>
      </c>
      <c r="AQ11" s="206">
        <f t="shared" si="9"/>
        <v>7.8973911377447099E-3</v>
      </c>
      <c r="AR11" s="206">
        <f t="shared" si="10"/>
        <v>3.0218089420955812</v>
      </c>
      <c r="AS11" s="71">
        <f t="shared" si="11"/>
        <v>0.16</v>
      </c>
      <c r="AT11" s="74">
        <f t="shared" si="12"/>
        <v>3.6299999999999995E-5</v>
      </c>
      <c r="AU11" s="73">
        <f t="shared" si="26"/>
        <v>5.7797050661801013</v>
      </c>
      <c r="AV11" s="71">
        <f t="shared" si="27"/>
        <v>8.56</v>
      </c>
      <c r="AW11" s="74">
        <f t="shared" si="28"/>
        <v>59.694393716566616</v>
      </c>
    </row>
    <row r="12" spans="1:49" x14ac:dyDescent="0.25">
      <c r="N12" s="71" t="s">
        <v>269</v>
      </c>
      <c r="O12" s="71">
        <f>IOUT/(O11)</f>
        <v>0.04</v>
      </c>
      <c r="Q12">
        <v>5</v>
      </c>
      <c r="R12" s="73">
        <f t="shared" si="0"/>
        <v>53.5</v>
      </c>
      <c r="S12" s="71">
        <f t="shared" si="1"/>
        <v>0.2</v>
      </c>
      <c r="T12" s="71">
        <f t="shared" si="2"/>
        <v>11</v>
      </c>
      <c r="U12" s="74">
        <f t="shared" si="3"/>
        <v>0.97272727272727277</v>
      </c>
      <c r="V12" s="73">
        <f>IF(Variable_Management!$B$20=3,2,IF((S12*R12/T12)&lt;((T12*(1-(T12/R12)))/(2*Lm*Fsw)),1,2))</f>
        <v>2</v>
      </c>
      <c r="W12" s="71">
        <f t="shared" si="13"/>
        <v>0.79439252336448596</v>
      </c>
      <c r="X12" s="74">
        <f t="shared" si="4"/>
        <v>0.20560747663551404</v>
      </c>
      <c r="Y12" s="73">
        <f t="shared" si="5"/>
        <v>5.8255451713395638</v>
      </c>
      <c r="Z12" s="71">
        <f t="shared" si="14"/>
        <v>3.8854998583970546</v>
      </c>
      <c r="AA12" s="71">
        <f t="shared" si="15"/>
        <v>1.9427505567409438</v>
      </c>
      <c r="AB12" s="71">
        <v>0</v>
      </c>
      <c r="AC12" s="71">
        <f t="shared" si="6"/>
        <v>8.680843369149668E-3</v>
      </c>
      <c r="AD12" s="74">
        <f t="shared" si="16"/>
        <v>8.680843369149668E-3</v>
      </c>
      <c r="AE12" s="73">
        <f t="shared" si="29"/>
        <v>0.77272727272727271</v>
      </c>
      <c r="AF12" s="71">
        <f t="shared" si="17"/>
        <v>1.7315483230900439</v>
      </c>
      <c r="AG12" s="71">
        <f t="shared" si="7"/>
        <v>1.1993038380783774E-2</v>
      </c>
      <c r="AH12" s="71">
        <f t="shared" si="18"/>
        <v>0.17311065399829853</v>
      </c>
      <c r="AI12" s="74">
        <f t="shared" si="19"/>
        <v>0.18510369237908231</v>
      </c>
      <c r="AJ12" s="73">
        <f t="shared" si="20"/>
        <v>0.20000000000000004</v>
      </c>
      <c r="AK12" s="71">
        <f t="shared" si="21"/>
        <v>0.88092004774627708</v>
      </c>
      <c r="AL12" s="71">
        <f t="shared" si="8"/>
        <v>3.1040805220852127E-3</v>
      </c>
      <c r="AM12" s="71">
        <f t="shared" si="22"/>
        <v>2.3804000000000003</v>
      </c>
      <c r="AN12" s="188">
        <f t="shared" si="23"/>
        <v>4.6625998300764658E-2</v>
      </c>
      <c r="AO12" s="74">
        <f t="shared" si="24"/>
        <v>2.4301300788228501</v>
      </c>
      <c r="AP12" s="73">
        <f t="shared" si="25"/>
        <v>5.6614195885758712E-3</v>
      </c>
      <c r="AQ12" s="206">
        <f t="shared" si="9"/>
        <v>8.680843369149668E-3</v>
      </c>
      <c r="AR12" s="206">
        <f t="shared" si="10"/>
        <v>3.0218089420955812</v>
      </c>
      <c r="AS12" s="71">
        <f t="shared" si="11"/>
        <v>0.16</v>
      </c>
      <c r="AT12" s="74">
        <f t="shared" si="12"/>
        <v>3.6299999999999995E-5</v>
      </c>
      <c r="AU12" s="73">
        <f t="shared" si="26"/>
        <v>5.8201021196243889</v>
      </c>
      <c r="AV12" s="71">
        <f t="shared" si="27"/>
        <v>10.700000000000001</v>
      </c>
      <c r="AW12" s="74">
        <f t="shared" si="28"/>
        <v>64.769575408915699</v>
      </c>
    </row>
    <row r="13" spans="1:49" x14ac:dyDescent="0.25">
      <c r="Q13">
        <v>6</v>
      </c>
      <c r="R13" s="73">
        <f t="shared" si="0"/>
        <v>53.5</v>
      </c>
      <c r="S13" s="71">
        <f t="shared" si="1"/>
        <v>0.24</v>
      </c>
      <c r="T13" s="71">
        <f t="shared" si="2"/>
        <v>11</v>
      </c>
      <c r="U13" s="74">
        <f t="shared" si="3"/>
        <v>1.1672727272727272</v>
      </c>
      <c r="V13" s="73">
        <f>IF(Variable_Management!$B$20=3,2,IF((S13*R13/T13)&lt;((T13*(1-(T13/R13)))/(2*Lm*Fsw)),1,2))</f>
        <v>2</v>
      </c>
      <c r="W13" s="71">
        <f t="shared" si="13"/>
        <v>0.79439252336448596</v>
      </c>
      <c r="X13" s="74">
        <f t="shared" si="4"/>
        <v>0.20560747663551404</v>
      </c>
      <c r="Y13" s="73">
        <f t="shared" si="5"/>
        <v>5.8255451713395638</v>
      </c>
      <c r="Z13" s="71">
        <f t="shared" si="14"/>
        <v>4.0800453129425094</v>
      </c>
      <c r="AA13" s="71">
        <f t="shared" si="15"/>
        <v>2.04709721274895</v>
      </c>
      <c r="AB13" s="71">
        <v>0</v>
      </c>
      <c r="AC13" s="71">
        <f t="shared" si="6"/>
        <v>9.6383960964223948E-3</v>
      </c>
      <c r="AD13" s="74">
        <f t="shared" si="16"/>
        <v>9.6383960964223948E-3</v>
      </c>
      <c r="AE13" s="73">
        <f t="shared" si="29"/>
        <v>0.92727272727272725</v>
      </c>
      <c r="AF13" s="71">
        <f t="shared" si="17"/>
        <v>1.8245511414929469</v>
      </c>
      <c r="AG13" s="71">
        <f t="shared" si="7"/>
        <v>1.3315947471692862E-2</v>
      </c>
      <c r="AH13" s="71">
        <f t="shared" si="18"/>
        <v>0.2077327847979582</v>
      </c>
      <c r="AI13" s="74">
        <f t="shared" si="19"/>
        <v>0.22104873226965108</v>
      </c>
      <c r="AJ13" s="73">
        <f t="shared" si="20"/>
        <v>0.24000000000000002</v>
      </c>
      <c r="AK13" s="71">
        <f t="shared" si="21"/>
        <v>0.92823495437378523</v>
      </c>
      <c r="AL13" s="71">
        <f t="shared" si="8"/>
        <v>3.4464805220852128E-3</v>
      </c>
      <c r="AM13" s="71">
        <f t="shared" si="22"/>
        <v>2.3804000000000003</v>
      </c>
      <c r="AN13" s="188">
        <f t="shared" si="23"/>
        <v>4.8960543755310115E-2</v>
      </c>
      <c r="AO13" s="74">
        <f t="shared" si="24"/>
        <v>2.4328070242773956</v>
      </c>
      <c r="AP13" s="73">
        <f t="shared" si="25"/>
        <v>6.2859104976667798E-3</v>
      </c>
      <c r="AQ13" s="206">
        <f t="shared" si="9"/>
        <v>9.6383960964223948E-3</v>
      </c>
      <c r="AR13" s="206">
        <f t="shared" si="10"/>
        <v>3.0218089420955812</v>
      </c>
      <c r="AS13" s="71">
        <f t="shared" si="11"/>
        <v>0.16</v>
      </c>
      <c r="AT13" s="74">
        <f t="shared" si="12"/>
        <v>3.6299999999999995E-5</v>
      </c>
      <c r="AU13" s="73">
        <f t="shared" si="26"/>
        <v>5.8612637013331401</v>
      </c>
      <c r="AV13" s="71">
        <f t="shared" si="27"/>
        <v>12.84</v>
      </c>
      <c r="AW13" s="74">
        <f t="shared" si="28"/>
        <v>68.658461829425391</v>
      </c>
    </row>
    <row r="14" spans="1:49" x14ac:dyDescent="0.25">
      <c r="Q14">
        <v>7</v>
      </c>
      <c r="R14" s="73">
        <f t="shared" si="0"/>
        <v>53.5</v>
      </c>
      <c r="S14" s="71">
        <f t="shared" si="1"/>
        <v>0.28000000000000003</v>
      </c>
      <c r="T14" s="71">
        <f t="shared" si="2"/>
        <v>11</v>
      </c>
      <c r="U14" s="74">
        <f t="shared" si="3"/>
        <v>1.361818181818182</v>
      </c>
      <c r="V14" s="73">
        <f>IF(Variable_Management!$B$20=3,2,IF((S14*R14/T14)&lt;((T14*(1-(T14/R14)))/(2*Lm*Fsw)),1,2))</f>
        <v>2</v>
      </c>
      <c r="W14" s="71">
        <f t="shared" si="13"/>
        <v>0.79439252336448596</v>
      </c>
      <c r="X14" s="74">
        <f t="shared" si="4"/>
        <v>0.20560747663551404</v>
      </c>
      <c r="Y14" s="73">
        <f t="shared" si="5"/>
        <v>5.8255451713395638</v>
      </c>
      <c r="Z14" s="71">
        <f t="shared" si="14"/>
        <v>4.2745907674879637</v>
      </c>
      <c r="AA14" s="71">
        <f t="shared" si="15"/>
        <v>2.1639385709720105</v>
      </c>
      <c r="AB14" s="71">
        <v>0</v>
      </c>
      <c r="AC14" s="71">
        <f t="shared" si="6"/>
        <v>1.077004931956289E-2</v>
      </c>
      <c r="AD14" s="74">
        <f t="shared" si="16"/>
        <v>1.077004931956289E-2</v>
      </c>
      <c r="AE14" s="73">
        <f t="shared" si="29"/>
        <v>1.081818181818182</v>
      </c>
      <c r="AF14" s="71">
        <f t="shared" si="17"/>
        <v>1.9286903255980339</v>
      </c>
      <c r="AG14" s="71">
        <f t="shared" si="7"/>
        <v>1.48793854882218E-2</v>
      </c>
      <c r="AH14" s="71">
        <f t="shared" si="18"/>
        <v>0.24235491559761799</v>
      </c>
      <c r="AI14" s="74">
        <f t="shared" si="19"/>
        <v>0.25723430108583978</v>
      </c>
      <c r="AJ14" s="73">
        <f t="shared" si="20"/>
        <v>0.28000000000000008</v>
      </c>
      <c r="AK14" s="71">
        <f t="shared" si="21"/>
        <v>0.98121545385554343</v>
      </c>
      <c r="AL14" s="71">
        <f t="shared" si="8"/>
        <v>3.8511350675397601E-3</v>
      </c>
      <c r="AM14" s="71">
        <f t="shared" si="22"/>
        <v>2.3804000000000003</v>
      </c>
      <c r="AN14" s="188">
        <f t="shared" si="23"/>
        <v>5.1295089209855566E-2</v>
      </c>
      <c r="AO14" s="74">
        <f t="shared" si="24"/>
        <v>2.4355462242773958</v>
      </c>
      <c r="AP14" s="73">
        <f t="shared" si="25"/>
        <v>7.0239452084105806E-3</v>
      </c>
      <c r="AQ14" s="206">
        <f t="shared" si="9"/>
        <v>1.077004931956289E-2</v>
      </c>
      <c r="AR14" s="206">
        <f t="shared" si="10"/>
        <v>3.0218089420955812</v>
      </c>
      <c r="AS14" s="71">
        <f t="shared" si="11"/>
        <v>0.16</v>
      </c>
      <c r="AT14" s="74">
        <f t="shared" si="12"/>
        <v>3.6299999999999995E-5</v>
      </c>
      <c r="AU14" s="73">
        <f t="shared" si="26"/>
        <v>5.903189811306353</v>
      </c>
      <c r="AV14" s="71">
        <f t="shared" si="27"/>
        <v>14.980000000000002</v>
      </c>
      <c r="AW14" s="74">
        <f t="shared" si="28"/>
        <v>71.732336560431449</v>
      </c>
    </row>
    <row r="15" spans="1:49" x14ac:dyDescent="0.25">
      <c r="O15">
        <f>0.205*2.5/(Lm*Fsw)</f>
        <v>0.34166666666666662</v>
      </c>
      <c r="Q15">
        <v>8</v>
      </c>
      <c r="R15" s="73">
        <f t="shared" si="0"/>
        <v>53.5</v>
      </c>
      <c r="S15" s="71">
        <f t="shared" si="1"/>
        <v>0.32</v>
      </c>
      <c r="T15" s="71">
        <f t="shared" si="2"/>
        <v>11</v>
      </c>
      <c r="U15" s="74">
        <f t="shared" si="3"/>
        <v>1.5563636363636364</v>
      </c>
      <c r="V15" s="73">
        <f>IF(Variable_Management!$B$20=3,2,IF((S15*R15/T15)&lt;((T15*(1-(T15/R15)))/(2*Lm*Fsw)),1,2))</f>
        <v>2</v>
      </c>
      <c r="W15" s="71">
        <f t="shared" si="13"/>
        <v>0.79439252336448596</v>
      </c>
      <c r="X15" s="74">
        <f t="shared" si="4"/>
        <v>0.20560747663551404</v>
      </c>
      <c r="Y15" s="73">
        <f t="shared" si="5"/>
        <v>5.8255451713395638</v>
      </c>
      <c r="Z15" s="71">
        <f t="shared" si="14"/>
        <v>4.4691362220334181</v>
      </c>
      <c r="AA15" s="71">
        <f t="shared" si="15"/>
        <v>2.2913640363776442</v>
      </c>
      <c r="AB15" s="71">
        <v>0</v>
      </c>
      <c r="AC15" s="71">
        <f t="shared" si="6"/>
        <v>1.2075803038571154E-2</v>
      </c>
      <c r="AD15" s="74">
        <f t="shared" si="16"/>
        <v>1.2075803038571154E-2</v>
      </c>
      <c r="AE15" s="73">
        <f t="shared" si="29"/>
        <v>1.2363636363636363</v>
      </c>
      <c r="AF15" s="71">
        <f t="shared" si="17"/>
        <v>2.0422629868830895</v>
      </c>
      <c r="AG15" s="71">
        <f t="shared" si="7"/>
        <v>1.668335243037055E-2</v>
      </c>
      <c r="AH15" s="71">
        <f t="shared" si="18"/>
        <v>0.2769770463972776</v>
      </c>
      <c r="AI15" s="74">
        <f t="shared" si="19"/>
        <v>0.29366039882764816</v>
      </c>
      <c r="AJ15" s="73">
        <f t="shared" si="20"/>
        <v>0.32000000000000006</v>
      </c>
      <c r="AK15" s="71">
        <f t="shared" si="21"/>
        <v>1.0389952067320678</v>
      </c>
      <c r="AL15" s="71">
        <f t="shared" si="8"/>
        <v>4.3180441584488496E-3</v>
      </c>
      <c r="AM15" s="71">
        <f t="shared" si="22"/>
        <v>2.3804000000000003</v>
      </c>
      <c r="AN15" s="188">
        <f t="shared" si="23"/>
        <v>5.3629634664401016E-2</v>
      </c>
      <c r="AO15" s="74">
        <f t="shared" si="24"/>
        <v>2.4383476788228502</v>
      </c>
      <c r="AP15" s="73">
        <f t="shared" si="25"/>
        <v>7.8755237208072756E-3</v>
      </c>
      <c r="AQ15" s="206">
        <f t="shared" si="9"/>
        <v>1.2075803038571154E-2</v>
      </c>
      <c r="AR15" s="206">
        <f t="shared" si="10"/>
        <v>3.0218089420955812</v>
      </c>
      <c r="AS15" s="71">
        <f t="shared" si="11"/>
        <v>0.16</v>
      </c>
      <c r="AT15" s="74">
        <f t="shared" si="12"/>
        <v>3.6299999999999995E-5</v>
      </c>
      <c r="AU15" s="73">
        <f t="shared" si="26"/>
        <v>5.9458804495440294</v>
      </c>
      <c r="AV15" s="71">
        <f t="shared" si="27"/>
        <v>17.12</v>
      </c>
      <c r="AW15" s="74">
        <f t="shared" si="28"/>
        <v>74.222183009443413</v>
      </c>
    </row>
    <row r="16" spans="1:49" x14ac:dyDescent="0.25">
      <c r="Q16">
        <v>9</v>
      </c>
      <c r="R16" s="73">
        <f t="shared" si="0"/>
        <v>53.5</v>
      </c>
      <c r="S16" s="71">
        <f t="shared" si="1"/>
        <v>0.36</v>
      </c>
      <c r="T16" s="71">
        <f t="shared" si="2"/>
        <v>11</v>
      </c>
      <c r="U16" s="74">
        <f t="shared" si="3"/>
        <v>1.7509090909090907</v>
      </c>
      <c r="V16" s="73">
        <f>IF(Variable_Management!$B$20=3,2,IF((S16*R16/T16)&lt;((T16*(1-(T16/R16)))/(2*Lm*Fsw)),1,2))</f>
        <v>2</v>
      </c>
      <c r="W16" s="71">
        <f t="shared" si="13"/>
        <v>0.79439252336448596</v>
      </c>
      <c r="X16" s="74">
        <f t="shared" si="4"/>
        <v>0.20560747663551404</v>
      </c>
      <c r="Y16" s="73">
        <f t="shared" si="5"/>
        <v>5.8255451713395638</v>
      </c>
      <c r="Z16" s="71">
        <f t="shared" ref="Z16:Z79" si="30">CHOOSE(V16,Y16,U16+(0.5*Y16))</f>
        <v>4.6636816765788724</v>
      </c>
      <c r="AA16" s="71">
        <f t="shared" ref="AA16:AA79" si="31">CHOOSE(V16,Z16*SQRT((W16+X16)/3),SQRT((U16^2)+((Y16^2)/12)))</f>
        <v>2.4277075654283213</v>
      </c>
      <c r="AB16" s="71">
        <v>0</v>
      </c>
      <c r="AC16" s="71">
        <f t="shared" si="6"/>
        <v>1.3555657253447186E-2</v>
      </c>
      <c r="AD16" s="74">
        <f t="shared" si="16"/>
        <v>1.3555657253447186E-2</v>
      </c>
      <c r="AE16" s="73">
        <f t="shared" si="29"/>
        <v>1.3909090909090907</v>
      </c>
      <c r="AF16" s="71">
        <f t="shared" si="17"/>
        <v>2.163784202395143</v>
      </c>
      <c r="AG16" s="71">
        <f t="shared" si="7"/>
        <v>1.872784829813914E-2</v>
      </c>
      <c r="AH16" s="71">
        <f t="shared" si="18"/>
        <v>0.3115991771969373</v>
      </c>
      <c r="AI16" s="74">
        <f t="shared" si="19"/>
        <v>0.33032702549507642</v>
      </c>
      <c r="AJ16" s="73">
        <f t="shared" si="20"/>
        <v>0.36</v>
      </c>
      <c r="AK16" s="71">
        <f t="shared" si="21"/>
        <v>1.100818762877487</v>
      </c>
      <c r="AL16" s="71">
        <f t="shared" si="8"/>
        <v>4.8472077948124841E-3</v>
      </c>
      <c r="AM16" s="71">
        <f t="shared" si="22"/>
        <v>2.3804000000000003</v>
      </c>
      <c r="AN16" s="188">
        <f t="shared" si="23"/>
        <v>5.5964180118946473E-2</v>
      </c>
      <c r="AO16" s="74">
        <f t="shared" si="24"/>
        <v>2.4412113879137589</v>
      </c>
      <c r="AP16" s="73">
        <f t="shared" si="25"/>
        <v>8.8406460348568611E-3</v>
      </c>
      <c r="AQ16" s="206">
        <f t="shared" si="9"/>
        <v>1.3555657253447186E-2</v>
      </c>
      <c r="AR16" s="206">
        <f t="shared" si="10"/>
        <v>3.0218089420955812</v>
      </c>
      <c r="AS16" s="71">
        <f t="shared" si="11"/>
        <v>0.16</v>
      </c>
      <c r="AT16" s="74">
        <f t="shared" si="12"/>
        <v>3.6299999999999995E-5</v>
      </c>
      <c r="AU16" s="73">
        <f t="shared" si="26"/>
        <v>5.9893356160461675</v>
      </c>
      <c r="AV16" s="71">
        <f t="shared" si="27"/>
        <v>19.259999999999998</v>
      </c>
      <c r="AW16" s="74">
        <f t="shared" si="28"/>
        <v>76.279234799984621</v>
      </c>
    </row>
    <row r="17" spans="17:49" x14ac:dyDescent="0.25">
      <c r="Q17">
        <v>10</v>
      </c>
      <c r="R17" s="73">
        <f t="shared" si="0"/>
        <v>53.5</v>
      </c>
      <c r="S17" s="71">
        <f t="shared" si="1"/>
        <v>0.4</v>
      </c>
      <c r="T17" s="71">
        <f t="shared" si="2"/>
        <v>11</v>
      </c>
      <c r="U17" s="74">
        <f t="shared" si="3"/>
        <v>1.9454545454545455</v>
      </c>
      <c r="V17" s="73">
        <f>IF(Variable_Management!$B$20=3,2,IF((S17*R17/T17)&lt;((T17*(1-(T17/R17)))/(2*Lm*Fsw)),1,2))</f>
        <v>2</v>
      </c>
      <c r="W17" s="71">
        <f t="shared" si="13"/>
        <v>0.79439252336448596</v>
      </c>
      <c r="X17" s="74">
        <f t="shared" si="4"/>
        <v>0.20560747663551404</v>
      </c>
      <c r="Y17" s="73">
        <f t="shared" si="5"/>
        <v>5.8255451713395638</v>
      </c>
      <c r="Z17" s="71">
        <f t="shared" si="30"/>
        <v>4.8582271311243277</v>
      </c>
      <c r="AA17" s="71">
        <f t="shared" si="31"/>
        <v>2.5715510430554476</v>
      </c>
      <c r="AB17" s="71">
        <v>0</v>
      </c>
      <c r="AC17" s="71">
        <f t="shared" si="6"/>
        <v>1.5209611964190989E-2</v>
      </c>
      <c r="AD17" s="74">
        <f t="shared" si="16"/>
        <v>1.5209611964190989E-2</v>
      </c>
      <c r="AE17" s="73">
        <f t="shared" si="29"/>
        <v>1.5454545454545454</v>
      </c>
      <c r="AF17" s="71">
        <f t="shared" si="17"/>
        <v>2.291990024603487</v>
      </c>
      <c r="AG17" s="71">
        <f t="shared" si="7"/>
        <v>2.1012873091527572E-2</v>
      </c>
      <c r="AH17" s="71">
        <f t="shared" si="18"/>
        <v>0.34622130799659706</v>
      </c>
      <c r="AI17" s="74">
        <f t="shared" si="19"/>
        <v>0.36723418108812461</v>
      </c>
      <c r="AJ17" s="73">
        <f t="shared" si="20"/>
        <v>0.40000000000000008</v>
      </c>
      <c r="AK17" s="71">
        <f t="shared" si="21"/>
        <v>1.1660430927532939</v>
      </c>
      <c r="AL17" s="71">
        <f t="shared" si="8"/>
        <v>5.4386259766306668E-3</v>
      </c>
      <c r="AM17" s="71">
        <f t="shared" si="22"/>
        <v>2.3804000000000003</v>
      </c>
      <c r="AN17" s="188">
        <f t="shared" si="23"/>
        <v>5.829872557349193E-2</v>
      </c>
      <c r="AO17" s="74">
        <f t="shared" si="24"/>
        <v>2.4441373515501232</v>
      </c>
      <c r="AP17" s="73">
        <f t="shared" si="25"/>
        <v>9.9193121505593406E-3</v>
      </c>
      <c r="AQ17" s="206">
        <f t="shared" si="9"/>
        <v>1.5209611964190989E-2</v>
      </c>
      <c r="AR17" s="206">
        <f t="shared" si="10"/>
        <v>3.0218089420955812</v>
      </c>
      <c r="AS17" s="71">
        <f t="shared" si="11"/>
        <v>0.16</v>
      </c>
      <c r="AT17" s="74">
        <f t="shared" si="12"/>
        <v>3.6299999999999995E-5</v>
      </c>
      <c r="AU17" s="73">
        <f t="shared" si="26"/>
        <v>6.0335553108127709</v>
      </c>
      <c r="AV17" s="71">
        <f t="shared" si="27"/>
        <v>21.400000000000002</v>
      </c>
      <c r="AW17" s="74">
        <f t="shared" si="28"/>
        <v>78.006659208204482</v>
      </c>
    </row>
    <row r="18" spans="17:49" x14ac:dyDescent="0.25">
      <c r="Q18">
        <v>11</v>
      </c>
      <c r="R18" s="73">
        <f t="shared" si="0"/>
        <v>53.5</v>
      </c>
      <c r="S18" s="71">
        <f t="shared" si="1"/>
        <v>0.44</v>
      </c>
      <c r="T18" s="71">
        <f t="shared" si="2"/>
        <v>11</v>
      </c>
      <c r="U18" s="74">
        <f t="shared" si="3"/>
        <v>2.14</v>
      </c>
      <c r="V18" s="73">
        <f>IF(Variable_Management!$B$20=3,2,IF((S18*R18/T18)&lt;((T18*(1-(T18/R18)))/(2*Lm*Fsw)),1,2))</f>
        <v>2</v>
      </c>
      <c r="W18" s="71">
        <f t="shared" si="13"/>
        <v>0.79439252336448596</v>
      </c>
      <c r="X18" s="74">
        <f t="shared" si="4"/>
        <v>0.20560747663551404</v>
      </c>
      <c r="Y18" s="73">
        <f t="shared" si="5"/>
        <v>5.8255451713395638</v>
      </c>
      <c r="Z18" s="71">
        <f t="shared" si="30"/>
        <v>5.052772585669782</v>
      </c>
      <c r="AA18" s="71">
        <f t="shared" si="31"/>
        <v>2.721705601017459</v>
      </c>
      <c r="AB18" s="71">
        <v>0</v>
      </c>
      <c r="AC18" s="71">
        <f t="shared" si="6"/>
        <v>1.7037667170802559E-2</v>
      </c>
      <c r="AD18" s="74">
        <f t="shared" si="16"/>
        <v>1.7037667170802559E-2</v>
      </c>
      <c r="AE18" s="73">
        <f t="shared" si="29"/>
        <v>1.7</v>
      </c>
      <c r="AF18" s="71">
        <f t="shared" si="17"/>
        <v>2.4258208306950375</v>
      </c>
      <c r="AG18" s="71">
        <f t="shared" si="7"/>
        <v>2.3538426810535848E-2</v>
      </c>
      <c r="AH18" s="71">
        <f t="shared" si="18"/>
        <v>0.38084343879625676</v>
      </c>
      <c r="AI18" s="74">
        <f t="shared" si="19"/>
        <v>0.40438186560679262</v>
      </c>
      <c r="AJ18" s="73">
        <f t="shared" si="20"/>
        <v>0.44000000000000006</v>
      </c>
      <c r="AK18" s="71">
        <f t="shared" si="21"/>
        <v>1.2341291164119941</v>
      </c>
      <c r="AL18" s="71">
        <f t="shared" si="8"/>
        <v>6.0922987039033977E-3</v>
      </c>
      <c r="AM18" s="71">
        <f t="shared" si="22"/>
        <v>2.3804000000000003</v>
      </c>
      <c r="AN18" s="188">
        <f t="shared" si="23"/>
        <v>6.0633271028037387E-2</v>
      </c>
      <c r="AO18" s="74">
        <f t="shared" si="24"/>
        <v>2.4471255697319414</v>
      </c>
      <c r="AP18" s="73">
        <f t="shared" si="25"/>
        <v>1.1111522067914712E-2</v>
      </c>
      <c r="AQ18" s="206">
        <f t="shared" si="9"/>
        <v>1.7037667170802559E-2</v>
      </c>
      <c r="AR18" s="206">
        <f t="shared" si="10"/>
        <v>3.0218089420955812</v>
      </c>
      <c r="AS18" s="71">
        <f t="shared" si="11"/>
        <v>0.16</v>
      </c>
      <c r="AT18" s="74">
        <f t="shared" si="12"/>
        <v>3.6299999999999995E-5</v>
      </c>
      <c r="AU18" s="73">
        <f t="shared" si="26"/>
        <v>6.0785395338438351</v>
      </c>
      <c r="AV18" s="71">
        <f t="shared" si="27"/>
        <v>23.54</v>
      </c>
      <c r="AW18" s="74">
        <f t="shared" si="28"/>
        <v>79.477247597241757</v>
      </c>
    </row>
    <row r="19" spans="17:49" x14ac:dyDescent="0.25">
      <c r="Q19">
        <v>12</v>
      </c>
      <c r="R19" s="73">
        <f t="shared" si="0"/>
        <v>53.5</v>
      </c>
      <c r="S19" s="71">
        <f t="shared" si="1"/>
        <v>0.48</v>
      </c>
      <c r="T19" s="71">
        <f t="shared" si="2"/>
        <v>11</v>
      </c>
      <c r="U19" s="74">
        <f t="shared" si="3"/>
        <v>2.3345454545454545</v>
      </c>
      <c r="V19" s="73">
        <f>IF(Variable_Management!$B$20=3,2,IF((S19*R19/T19)&lt;((T19*(1-(T19/R19)))/(2*Lm*Fsw)),1,2))</f>
        <v>2</v>
      </c>
      <c r="W19" s="71">
        <f t="shared" si="13"/>
        <v>0.79439252336448596</v>
      </c>
      <c r="X19" s="74">
        <f t="shared" si="4"/>
        <v>0.20560747663551404</v>
      </c>
      <c r="Y19" s="73">
        <f t="shared" si="5"/>
        <v>5.8255451713395638</v>
      </c>
      <c r="Z19" s="71">
        <f t="shared" si="30"/>
        <v>5.2473180402152364</v>
      </c>
      <c r="AA19" s="71">
        <f t="shared" si="31"/>
        <v>2.87718332018463</v>
      </c>
      <c r="AB19" s="71">
        <v>0</v>
      </c>
      <c r="AC19" s="71">
        <f t="shared" si="6"/>
        <v>1.9039822873281896E-2</v>
      </c>
      <c r="AD19" s="74">
        <f t="shared" si="16"/>
        <v>1.9039822873281896E-2</v>
      </c>
      <c r="AE19" s="73">
        <f t="shared" si="29"/>
        <v>1.8545454545454545</v>
      </c>
      <c r="AF19" s="71">
        <f t="shared" si="17"/>
        <v>2.5643961011885401</v>
      </c>
      <c r="AG19" s="71">
        <f t="shared" si="7"/>
        <v>2.6304509455163941E-2</v>
      </c>
      <c r="AH19" s="71">
        <f t="shared" si="18"/>
        <v>0.41546556959591641</v>
      </c>
      <c r="AI19" s="74">
        <f t="shared" si="19"/>
        <v>0.44177007905108034</v>
      </c>
      <c r="AJ19" s="73">
        <f t="shared" si="20"/>
        <v>0.48000000000000004</v>
      </c>
      <c r="AK19" s="71">
        <f t="shared" si="21"/>
        <v>1.3046288721922672</v>
      </c>
      <c r="AL19" s="71">
        <f t="shared" si="8"/>
        <v>6.808225976630668E-3</v>
      </c>
      <c r="AM19" s="71">
        <f t="shared" si="22"/>
        <v>2.3804000000000003</v>
      </c>
      <c r="AN19" s="188">
        <f t="shared" si="23"/>
        <v>6.2967816482582845E-2</v>
      </c>
      <c r="AO19" s="74">
        <f t="shared" si="24"/>
        <v>2.4501760424592138</v>
      </c>
      <c r="AP19" s="73">
        <f t="shared" si="25"/>
        <v>1.2417275786922977E-2</v>
      </c>
      <c r="AQ19" s="206">
        <f t="shared" si="9"/>
        <v>1.9039822873281896E-2</v>
      </c>
      <c r="AR19" s="206">
        <f t="shared" si="10"/>
        <v>3.0218089420955812</v>
      </c>
      <c r="AS19" s="71">
        <f t="shared" si="11"/>
        <v>0.16</v>
      </c>
      <c r="AT19" s="74">
        <f t="shared" si="12"/>
        <v>3.6299999999999995E-5</v>
      </c>
      <c r="AU19" s="73">
        <f t="shared" si="26"/>
        <v>6.1242882851393627</v>
      </c>
      <c r="AV19" s="71">
        <f t="shared" si="27"/>
        <v>25.68</v>
      </c>
      <c r="AW19" s="74">
        <f t="shared" si="28"/>
        <v>80.743828535848877</v>
      </c>
    </row>
    <row r="20" spans="17:49" x14ac:dyDescent="0.25">
      <c r="Q20">
        <v>13</v>
      </c>
      <c r="R20" s="73">
        <f t="shared" si="0"/>
        <v>53.5</v>
      </c>
      <c r="S20" s="71">
        <f t="shared" si="1"/>
        <v>0.52</v>
      </c>
      <c r="T20" s="71">
        <f t="shared" si="2"/>
        <v>11</v>
      </c>
      <c r="U20" s="74">
        <f t="shared" si="3"/>
        <v>2.5290909090909093</v>
      </c>
      <c r="V20" s="73">
        <f>IF(Variable_Management!$B$20=3,2,IF((S20*R20/T20)&lt;((T20*(1-(T20/R20)))/(2*Lm*Fsw)),1,2))</f>
        <v>2</v>
      </c>
      <c r="W20" s="71">
        <f t="shared" si="13"/>
        <v>0.79439252336448596</v>
      </c>
      <c r="X20" s="74">
        <f t="shared" si="4"/>
        <v>0.20560747663551404</v>
      </c>
      <c r="Y20" s="73">
        <f t="shared" si="5"/>
        <v>5.8255451713395638</v>
      </c>
      <c r="Z20" s="71">
        <f t="shared" si="30"/>
        <v>5.4418634947606908</v>
      </c>
      <c r="AA20" s="71">
        <f t="shared" si="31"/>
        <v>3.0371668056028946</v>
      </c>
      <c r="AB20" s="71">
        <v>0</v>
      </c>
      <c r="AC20" s="71">
        <f t="shared" si="6"/>
        <v>2.1216079071629011E-2</v>
      </c>
      <c r="AD20" s="74">
        <f t="shared" si="16"/>
        <v>2.1216079071629011E-2</v>
      </c>
      <c r="AE20" s="73">
        <f t="shared" si="29"/>
        <v>2.0090909090909093</v>
      </c>
      <c r="AF20" s="71">
        <f t="shared" si="17"/>
        <v>2.7069873025843627</v>
      </c>
      <c r="AG20" s="71">
        <f t="shared" si="7"/>
        <v>2.9311121025411859E-2</v>
      </c>
      <c r="AH20" s="71">
        <f t="shared" si="18"/>
        <v>0.45008770039557616</v>
      </c>
      <c r="AI20" s="74">
        <f t="shared" si="19"/>
        <v>0.479398821420988</v>
      </c>
      <c r="AJ20" s="73">
        <f t="shared" si="20"/>
        <v>0.52000000000000013</v>
      </c>
      <c r="AK20" s="71">
        <f t="shared" si="21"/>
        <v>1.3771717208478833</v>
      </c>
      <c r="AL20" s="71">
        <f t="shared" si="8"/>
        <v>7.5864077948124813E-3</v>
      </c>
      <c r="AM20" s="71">
        <f t="shared" si="22"/>
        <v>2.3804000000000003</v>
      </c>
      <c r="AN20" s="188">
        <f t="shared" si="23"/>
        <v>6.5302361937128295E-2</v>
      </c>
      <c r="AO20" s="74">
        <f t="shared" si="24"/>
        <v>2.453288769731941</v>
      </c>
      <c r="AP20" s="73">
        <f t="shared" si="25"/>
        <v>1.3836573307584138E-2</v>
      </c>
      <c r="AQ20" s="206">
        <f t="shared" si="9"/>
        <v>2.1216079071629011E-2</v>
      </c>
      <c r="AR20" s="206">
        <f t="shared" si="10"/>
        <v>3.0218089420955812</v>
      </c>
      <c r="AS20" s="71">
        <f t="shared" si="11"/>
        <v>0.16</v>
      </c>
      <c r="AT20" s="74">
        <f t="shared" si="12"/>
        <v>3.6299999999999995E-5</v>
      </c>
      <c r="AU20" s="73">
        <f t="shared" si="26"/>
        <v>6.170801564699353</v>
      </c>
      <c r="AV20" s="71">
        <f t="shared" si="27"/>
        <v>27.82</v>
      </c>
      <c r="AW20" s="74">
        <f t="shared" si="28"/>
        <v>81.845672121166018</v>
      </c>
    </row>
    <row r="21" spans="17:49" x14ac:dyDescent="0.25">
      <c r="Q21">
        <v>14</v>
      </c>
      <c r="R21" s="73">
        <f t="shared" si="0"/>
        <v>53.5</v>
      </c>
      <c r="S21" s="71">
        <f t="shared" si="1"/>
        <v>0.56000000000000005</v>
      </c>
      <c r="T21" s="71">
        <f t="shared" si="2"/>
        <v>11</v>
      </c>
      <c r="U21" s="74">
        <f t="shared" si="3"/>
        <v>2.7236363636363641</v>
      </c>
      <c r="V21" s="73">
        <f>IF(Variable_Management!$B$20=3,2,IF((S21*R21/T21)&lt;((T21*(1-(T21/R21)))/(2*Lm*Fsw)),1,2))</f>
        <v>2</v>
      </c>
      <c r="W21" s="71">
        <f t="shared" si="13"/>
        <v>0.79439252336448596</v>
      </c>
      <c r="X21" s="74">
        <f t="shared" si="4"/>
        <v>0.20560747663551404</v>
      </c>
      <c r="Y21" s="73">
        <f t="shared" si="5"/>
        <v>5.8255451713395638</v>
      </c>
      <c r="Z21" s="71">
        <f t="shared" si="30"/>
        <v>5.636408949306146</v>
      </c>
      <c r="AA21" s="71">
        <f t="shared" si="31"/>
        <v>3.2009805403863556</v>
      </c>
      <c r="AB21" s="71">
        <v>0</v>
      </c>
      <c r="AC21" s="71">
        <f t="shared" si="6"/>
        <v>2.3566435765843885E-2</v>
      </c>
      <c r="AD21" s="74">
        <f t="shared" si="16"/>
        <v>2.3566435765843885E-2</v>
      </c>
      <c r="AE21" s="73">
        <f t="shared" si="29"/>
        <v>2.163636363636364</v>
      </c>
      <c r="AF21" s="71">
        <f t="shared" si="17"/>
        <v>2.852992355461176</v>
      </c>
      <c r="AG21" s="71">
        <f t="shared" si="7"/>
        <v>3.2558261521279643E-2</v>
      </c>
      <c r="AH21" s="71">
        <f t="shared" si="18"/>
        <v>0.48470983119523597</v>
      </c>
      <c r="AI21" s="74">
        <f t="shared" si="19"/>
        <v>0.51726809271651564</v>
      </c>
      <c r="AJ21" s="73">
        <f t="shared" si="20"/>
        <v>0.56000000000000016</v>
      </c>
      <c r="AK21" s="71">
        <f t="shared" si="21"/>
        <v>1.4514513562679985</v>
      </c>
      <c r="AL21" s="71">
        <f t="shared" si="8"/>
        <v>8.4268441584488506E-3</v>
      </c>
      <c r="AM21" s="71">
        <f t="shared" si="22"/>
        <v>2.3804000000000003</v>
      </c>
      <c r="AN21" s="188">
        <f t="shared" si="23"/>
        <v>6.7636907391673759E-2</v>
      </c>
      <c r="AO21" s="74">
        <f t="shared" si="24"/>
        <v>2.4564637515501229</v>
      </c>
      <c r="AP21" s="73">
        <f t="shared" si="25"/>
        <v>1.5369414629898187E-2</v>
      </c>
      <c r="AQ21" s="206">
        <f t="shared" si="9"/>
        <v>2.3566435765843885E-2</v>
      </c>
      <c r="AR21" s="206">
        <f t="shared" si="10"/>
        <v>3.0218089420955812</v>
      </c>
      <c r="AS21" s="71">
        <f t="shared" si="11"/>
        <v>0.16</v>
      </c>
      <c r="AT21" s="74">
        <f t="shared" si="12"/>
        <v>3.6299999999999995E-5</v>
      </c>
      <c r="AU21" s="73">
        <f t="shared" si="26"/>
        <v>6.2180793725238068</v>
      </c>
      <c r="AV21" s="71">
        <f t="shared" si="27"/>
        <v>29.960000000000004</v>
      </c>
      <c r="AW21" s="74">
        <f t="shared" si="28"/>
        <v>82.812577449188041</v>
      </c>
    </row>
    <row r="22" spans="17:49" x14ac:dyDescent="0.25">
      <c r="Q22">
        <v>15</v>
      </c>
      <c r="R22" s="73">
        <f t="shared" si="0"/>
        <v>53.5</v>
      </c>
      <c r="S22" s="71">
        <f t="shared" si="1"/>
        <v>0.6</v>
      </c>
      <c r="T22" s="71">
        <f t="shared" si="2"/>
        <v>11</v>
      </c>
      <c r="U22" s="74">
        <f t="shared" si="3"/>
        <v>2.9181818181818184</v>
      </c>
      <c r="V22" s="73">
        <f>IF(Variable_Management!$B$20=3,2,IF((S22*R22/T22)&lt;((T22*(1-(T22/R22)))/(2*Lm*Fsw)),1,2))</f>
        <v>2</v>
      </c>
      <c r="W22" s="71">
        <f t="shared" si="13"/>
        <v>0.79439252336448596</v>
      </c>
      <c r="X22" s="74">
        <f t="shared" si="4"/>
        <v>0.20560747663551404</v>
      </c>
      <c r="Y22" s="73">
        <f t="shared" si="5"/>
        <v>5.8255451713395638</v>
      </c>
      <c r="Z22" s="71">
        <f t="shared" si="30"/>
        <v>5.8309544038516004</v>
      </c>
      <c r="AA22" s="71">
        <f t="shared" si="31"/>
        <v>3.3680656915471161</v>
      </c>
      <c r="AB22" s="71">
        <v>0</v>
      </c>
      <c r="AC22" s="71">
        <f t="shared" si="6"/>
        <v>2.6090892955926533E-2</v>
      </c>
      <c r="AD22" s="74">
        <f t="shared" si="16"/>
        <v>2.6090892955926533E-2</v>
      </c>
      <c r="AE22" s="73">
        <f t="shared" si="29"/>
        <v>2.3181818181818183</v>
      </c>
      <c r="AF22" s="71">
        <f t="shared" si="17"/>
        <v>3.0019131792395015</v>
      </c>
      <c r="AG22" s="71">
        <f t="shared" si="7"/>
        <v>3.604593094276725E-2</v>
      </c>
      <c r="AH22" s="71">
        <f t="shared" si="18"/>
        <v>0.51933196199489551</v>
      </c>
      <c r="AI22" s="74">
        <f t="shared" si="19"/>
        <v>0.55537789293766271</v>
      </c>
      <c r="AJ22" s="73">
        <f t="shared" si="20"/>
        <v>0.60000000000000009</v>
      </c>
      <c r="AK22" s="71">
        <f t="shared" si="21"/>
        <v>1.5272143814425465</v>
      </c>
      <c r="AL22" s="71">
        <f t="shared" si="8"/>
        <v>9.3295350675397602E-3</v>
      </c>
      <c r="AM22" s="71">
        <f t="shared" si="22"/>
        <v>2.3804000000000003</v>
      </c>
      <c r="AN22" s="188">
        <f t="shared" si="23"/>
        <v>6.9971452846219209E-2</v>
      </c>
      <c r="AO22" s="74">
        <f t="shared" si="24"/>
        <v>2.4597009879137595</v>
      </c>
      <c r="AP22" s="73">
        <f t="shared" si="25"/>
        <v>1.7015799753865132E-2</v>
      </c>
      <c r="AQ22" s="206">
        <f t="shared" si="9"/>
        <v>2.6090892955926533E-2</v>
      </c>
      <c r="AR22" s="206">
        <f t="shared" si="10"/>
        <v>3.0218089420955812</v>
      </c>
      <c r="AS22" s="71">
        <f t="shared" si="11"/>
        <v>0.16</v>
      </c>
      <c r="AT22" s="74">
        <f t="shared" si="12"/>
        <v>3.6299999999999995E-5</v>
      </c>
      <c r="AU22" s="73">
        <f t="shared" si="26"/>
        <v>6.2661217086127223</v>
      </c>
      <c r="AV22" s="71">
        <f t="shared" si="27"/>
        <v>32.1</v>
      </c>
      <c r="AW22" s="74">
        <f t="shared" si="28"/>
        <v>83.667565472988485</v>
      </c>
    </row>
    <row r="23" spans="17:49" x14ac:dyDescent="0.25">
      <c r="Q23">
        <v>16</v>
      </c>
      <c r="R23" s="73">
        <f t="shared" si="0"/>
        <v>53.5</v>
      </c>
      <c r="S23" s="71">
        <f t="shared" si="1"/>
        <v>0.64</v>
      </c>
      <c r="T23" s="71">
        <f t="shared" si="2"/>
        <v>11</v>
      </c>
      <c r="U23" s="74">
        <f t="shared" si="3"/>
        <v>3.1127272727272728</v>
      </c>
      <c r="V23" s="73">
        <f>IF(Variable_Management!$B$20=3,2,IF((S23*R23/T23)&lt;((T23*(1-(T23/R23)))/(2*Lm*Fsw)),1,2))</f>
        <v>2</v>
      </c>
      <c r="W23" s="71">
        <f t="shared" si="13"/>
        <v>0.79439252336448596</v>
      </c>
      <c r="X23" s="74">
        <f t="shared" si="4"/>
        <v>0.20560747663551404</v>
      </c>
      <c r="Y23" s="73">
        <f t="shared" si="5"/>
        <v>5.8255451713395638</v>
      </c>
      <c r="Z23" s="71">
        <f t="shared" si="30"/>
        <v>6.0254998583970547</v>
      </c>
      <c r="AA23" s="71">
        <f t="shared" si="31"/>
        <v>3.5379587975257678</v>
      </c>
      <c r="AB23" s="71">
        <v>0</v>
      </c>
      <c r="AC23" s="71">
        <f t="shared" si="6"/>
        <v>2.8789450641876949E-2</v>
      </c>
      <c r="AD23" s="74">
        <f t="shared" si="16"/>
        <v>2.8789450641876949E-2</v>
      </c>
      <c r="AE23" s="73">
        <f t="shared" si="29"/>
        <v>2.4727272727272727</v>
      </c>
      <c r="AF23" s="71">
        <f t="shared" si="17"/>
        <v>3.1533366966546201</v>
      </c>
      <c r="AG23" s="71">
        <f t="shared" si="7"/>
        <v>3.9774129289874685E-2</v>
      </c>
      <c r="AH23" s="71">
        <f t="shared" si="18"/>
        <v>0.55395409279455521</v>
      </c>
      <c r="AI23" s="74">
        <f t="shared" si="19"/>
        <v>0.59372822208442988</v>
      </c>
      <c r="AJ23" s="73">
        <f t="shared" si="20"/>
        <v>0.64000000000000012</v>
      </c>
      <c r="AK23" s="71">
        <f t="shared" si="21"/>
        <v>1.6042506445444564</v>
      </c>
      <c r="AL23" s="71">
        <f t="shared" si="8"/>
        <v>1.0294480522085217E-2</v>
      </c>
      <c r="AM23" s="71">
        <f t="shared" si="22"/>
        <v>2.3804000000000003</v>
      </c>
      <c r="AN23" s="188">
        <f t="shared" si="23"/>
        <v>7.230599830076466E-2</v>
      </c>
      <c r="AO23" s="74">
        <f t="shared" si="24"/>
        <v>2.4630004788228503</v>
      </c>
      <c r="AP23" s="73">
        <f t="shared" si="25"/>
        <v>1.8775728679484967E-2</v>
      </c>
      <c r="AQ23" s="206">
        <f t="shared" si="9"/>
        <v>2.8789450641876949E-2</v>
      </c>
      <c r="AR23" s="206">
        <f t="shared" si="10"/>
        <v>3.0218089420955812</v>
      </c>
      <c r="AS23" s="71">
        <f t="shared" si="11"/>
        <v>0.16</v>
      </c>
      <c r="AT23" s="74">
        <f t="shared" si="12"/>
        <v>3.6299999999999995E-5</v>
      </c>
      <c r="AU23" s="73">
        <f t="shared" si="26"/>
        <v>6.3149285729661004</v>
      </c>
      <c r="AV23" s="71">
        <f t="shared" si="27"/>
        <v>34.24</v>
      </c>
      <c r="AW23" s="74">
        <f t="shared" si="28"/>
        <v>84.428702514900664</v>
      </c>
    </row>
    <row r="24" spans="17:49" x14ac:dyDescent="0.25">
      <c r="Q24">
        <v>17</v>
      </c>
      <c r="R24" s="73">
        <f t="shared" si="0"/>
        <v>53.5</v>
      </c>
      <c r="S24" s="71">
        <f t="shared" si="1"/>
        <v>0.68</v>
      </c>
      <c r="T24" s="71">
        <f t="shared" si="2"/>
        <v>11</v>
      </c>
      <c r="U24" s="74">
        <f t="shared" si="3"/>
        <v>3.3072727272727276</v>
      </c>
      <c r="V24" s="73">
        <f>IF(Variable_Management!$B$20=3,2,IF((S24*R24/T24)&lt;((T24*(1-(T24/R24)))/(2*Lm*Fsw)),1,2))</f>
        <v>2</v>
      </c>
      <c r="W24" s="71">
        <f t="shared" si="13"/>
        <v>0.79439252336448596</v>
      </c>
      <c r="X24" s="74">
        <f t="shared" si="4"/>
        <v>0.20560747663551404</v>
      </c>
      <c r="Y24" s="73">
        <f t="shared" si="5"/>
        <v>5.8255451713395638</v>
      </c>
      <c r="Z24" s="71">
        <f t="shared" si="30"/>
        <v>6.22004531294251</v>
      </c>
      <c r="AA24" s="71">
        <f t="shared" si="31"/>
        <v>3.7102741504061121</v>
      </c>
      <c r="AB24" s="71">
        <v>0</v>
      </c>
      <c r="AC24" s="71">
        <f t="shared" si="6"/>
        <v>3.1662108823695134E-2</v>
      </c>
      <c r="AD24" s="74">
        <f t="shared" si="16"/>
        <v>3.1662108823695134E-2</v>
      </c>
      <c r="AE24" s="73">
        <f t="shared" si="29"/>
        <v>2.6272727272727274</v>
      </c>
      <c r="AF24" s="71">
        <f t="shared" si="17"/>
        <v>3.306919131253514</v>
      </c>
      <c r="AG24" s="71">
        <f t="shared" si="7"/>
        <v>4.3742856562601989E-2</v>
      </c>
      <c r="AH24" s="71">
        <f t="shared" si="18"/>
        <v>0.58857622359421502</v>
      </c>
      <c r="AI24" s="74">
        <f t="shared" si="19"/>
        <v>0.63231908015681704</v>
      </c>
      <c r="AJ24" s="73">
        <f t="shared" si="20"/>
        <v>0.68000000000000016</v>
      </c>
      <c r="AK24" s="71">
        <f t="shared" si="21"/>
        <v>1.682385250328029</v>
      </c>
      <c r="AL24" s="71">
        <f t="shared" si="8"/>
        <v>1.1321680522085219E-2</v>
      </c>
      <c r="AM24" s="71">
        <f t="shared" si="22"/>
        <v>2.3804000000000003</v>
      </c>
      <c r="AN24" s="188">
        <f t="shared" si="23"/>
        <v>7.4640543755310124E-2</v>
      </c>
      <c r="AO24" s="74">
        <f t="shared" si="24"/>
        <v>2.4663622242773955</v>
      </c>
      <c r="AP24" s="73">
        <f t="shared" si="25"/>
        <v>2.0649201406757696E-2</v>
      </c>
      <c r="AQ24" s="206">
        <f t="shared" si="9"/>
        <v>3.1662108823695134E-2</v>
      </c>
      <c r="AR24" s="206">
        <f t="shared" si="10"/>
        <v>3.0218089420955812</v>
      </c>
      <c r="AS24" s="71">
        <f t="shared" si="11"/>
        <v>0.16</v>
      </c>
      <c r="AT24" s="74">
        <f t="shared" si="12"/>
        <v>3.6299999999999995E-5</v>
      </c>
      <c r="AU24" s="73">
        <f t="shared" si="26"/>
        <v>6.364499965583942</v>
      </c>
      <c r="AV24" s="71">
        <f t="shared" si="27"/>
        <v>36.380000000000003</v>
      </c>
      <c r="AW24" s="74">
        <f t="shared" si="28"/>
        <v>85.110365144735894</v>
      </c>
    </row>
    <row r="25" spans="17:49" x14ac:dyDescent="0.25">
      <c r="Q25">
        <v>18</v>
      </c>
      <c r="R25" s="73">
        <f t="shared" si="0"/>
        <v>53.5</v>
      </c>
      <c r="S25" s="71">
        <f t="shared" si="1"/>
        <v>0.72</v>
      </c>
      <c r="T25" s="71">
        <f t="shared" si="2"/>
        <v>11</v>
      </c>
      <c r="U25" s="74">
        <f t="shared" si="3"/>
        <v>3.5018181818181815</v>
      </c>
      <c r="V25" s="73">
        <f>IF(Variable_Management!$B$20=3,2,IF((S25*R25/T25)&lt;((T25*(1-(T25/R25)))/(2*Lm*Fsw)),1,2))</f>
        <v>2</v>
      </c>
      <c r="W25" s="71">
        <f t="shared" si="13"/>
        <v>0.79439252336448596</v>
      </c>
      <c r="X25" s="74">
        <f t="shared" si="4"/>
        <v>0.20560747663551404</v>
      </c>
      <c r="Y25" s="73">
        <f t="shared" si="5"/>
        <v>5.8255451713395638</v>
      </c>
      <c r="Z25" s="71">
        <f t="shared" si="30"/>
        <v>6.4145907674879634</v>
      </c>
      <c r="AA25" s="71">
        <f t="shared" si="31"/>
        <v>3.8846894286573548</v>
      </c>
      <c r="AB25" s="71">
        <v>0</v>
      </c>
      <c r="AC25" s="71">
        <f t="shared" si="6"/>
        <v>3.4708867501381073E-2</v>
      </c>
      <c r="AD25" s="74">
        <f t="shared" si="16"/>
        <v>3.4708867501381073E-2</v>
      </c>
      <c r="AE25" s="73">
        <f t="shared" si="29"/>
        <v>2.7818181818181813</v>
      </c>
      <c r="AF25" s="71">
        <f t="shared" si="17"/>
        <v>3.4623732020446987</v>
      </c>
      <c r="AG25" s="71">
        <f t="shared" si="7"/>
        <v>4.7952112760949045E-2</v>
      </c>
      <c r="AH25" s="71">
        <f t="shared" si="18"/>
        <v>0.62319835439387461</v>
      </c>
      <c r="AI25" s="74">
        <f t="shared" si="19"/>
        <v>0.67115046715482363</v>
      </c>
      <c r="AJ25" s="73">
        <f t="shared" si="20"/>
        <v>0.72</v>
      </c>
      <c r="AK25" s="71">
        <f t="shared" si="21"/>
        <v>1.7614720454452117</v>
      </c>
      <c r="AL25" s="71">
        <f t="shared" si="8"/>
        <v>1.2411135067539754E-2</v>
      </c>
      <c r="AM25" s="71">
        <f t="shared" si="22"/>
        <v>2.3804000000000003</v>
      </c>
      <c r="AN25" s="188">
        <f t="shared" si="23"/>
        <v>7.697508920985556E-2</v>
      </c>
      <c r="AO25" s="74">
        <f t="shared" si="24"/>
        <v>2.4697862242773954</v>
      </c>
      <c r="AP25" s="73">
        <f t="shared" si="25"/>
        <v>2.2636217935683309E-2</v>
      </c>
      <c r="AQ25" s="206">
        <f t="shared" si="9"/>
        <v>3.4708867501381073E-2</v>
      </c>
      <c r="AR25" s="206">
        <f t="shared" si="10"/>
        <v>3.0218089420955812</v>
      </c>
      <c r="AS25" s="71">
        <f t="shared" si="11"/>
        <v>0.16</v>
      </c>
      <c r="AT25" s="74">
        <f t="shared" si="12"/>
        <v>3.6299999999999995E-5</v>
      </c>
      <c r="AU25" s="73">
        <f t="shared" si="26"/>
        <v>6.4148358864662463</v>
      </c>
      <c r="AV25" s="71">
        <f t="shared" si="27"/>
        <v>38.519999999999996</v>
      </c>
      <c r="AW25" s="74">
        <f t="shared" si="28"/>
        <v>85.724136385689334</v>
      </c>
    </row>
    <row r="26" spans="17:49" x14ac:dyDescent="0.25">
      <c r="Q26">
        <v>19</v>
      </c>
      <c r="R26" s="73">
        <f t="shared" si="0"/>
        <v>53.5</v>
      </c>
      <c r="S26" s="71">
        <f t="shared" si="1"/>
        <v>0.76</v>
      </c>
      <c r="T26" s="71">
        <f t="shared" si="2"/>
        <v>11</v>
      </c>
      <c r="U26" s="74">
        <f t="shared" si="3"/>
        <v>3.6963636363636367</v>
      </c>
      <c r="V26" s="73">
        <f>IF(Variable_Management!$B$20=3,2,IF((S26*R26/T26)&lt;((T26*(1-(T26/R26)))/(2*Lm*Fsw)),1,2))</f>
        <v>2</v>
      </c>
      <c r="W26" s="71">
        <f t="shared" si="13"/>
        <v>0.79439252336448596</v>
      </c>
      <c r="X26" s="74">
        <f t="shared" si="4"/>
        <v>0.20560747663551404</v>
      </c>
      <c r="Y26" s="73">
        <f t="shared" si="5"/>
        <v>5.8255451713395638</v>
      </c>
      <c r="Z26" s="71">
        <f t="shared" si="30"/>
        <v>6.6091362220334187</v>
      </c>
      <c r="AA26" s="71">
        <f t="shared" si="31"/>
        <v>4.0609340687631477</v>
      </c>
      <c r="AB26" s="71">
        <v>0</v>
      </c>
      <c r="AC26" s="71">
        <f t="shared" si="6"/>
        <v>3.7929726674934786E-2</v>
      </c>
      <c r="AD26" s="74">
        <f t="shared" si="16"/>
        <v>3.7929726674934786E-2</v>
      </c>
      <c r="AE26" s="73">
        <f t="shared" si="29"/>
        <v>2.9363636363636365</v>
      </c>
      <c r="AF26" s="71">
        <f t="shared" si="17"/>
        <v>3.6194577592823221</v>
      </c>
      <c r="AG26" s="71">
        <f t="shared" si="7"/>
        <v>5.2401897884916032E-2</v>
      </c>
      <c r="AH26" s="71">
        <f t="shared" si="18"/>
        <v>0.65782048519353442</v>
      </c>
      <c r="AI26" s="74">
        <f t="shared" si="19"/>
        <v>0.71022238307845043</v>
      </c>
      <c r="AJ26" s="73">
        <f t="shared" si="20"/>
        <v>0.76000000000000012</v>
      </c>
      <c r="AK26" s="71">
        <f t="shared" si="21"/>
        <v>1.8413883456816529</v>
      </c>
      <c r="AL26" s="71">
        <f t="shared" si="8"/>
        <v>1.3562844158448857E-2</v>
      </c>
      <c r="AM26" s="71">
        <f t="shared" si="22"/>
        <v>2.3804000000000003</v>
      </c>
      <c r="AN26" s="188">
        <f t="shared" si="23"/>
        <v>7.9309634664401024E-2</v>
      </c>
      <c r="AO26" s="74">
        <f t="shared" si="24"/>
        <v>2.47327247882285</v>
      </c>
      <c r="AP26" s="73">
        <f t="shared" si="25"/>
        <v>2.4736778266261819E-2</v>
      </c>
      <c r="AQ26" s="206">
        <f t="shared" si="9"/>
        <v>3.7929726674934786E-2</v>
      </c>
      <c r="AR26" s="206">
        <f t="shared" si="10"/>
        <v>3.0218089420955812</v>
      </c>
      <c r="AS26" s="71">
        <f t="shared" si="11"/>
        <v>0.16</v>
      </c>
      <c r="AT26" s="74">
        <f t="shared" si="12"/>
        <v>3.6299999999999995E-5</v>
      </c>
      <c r="AU26" s="73">
        <f t="shared" si="26"/>
        <v>6.465936335613014</v>
      </c>
      <c r="AV26" s="71">
        <f t="shared" si="27"/>
        <v>40.660000000000004</v>
      </c>
      <c r="AW26" s="74">
        <f t="shared" si="28"/>
        <v>86.279452805849687</v>
      </c>
    </row>
    <row r="27" spans="17:49" x14ac:dyDescent="0.25">
      <c r="Q27">
        <v>20</v>
      </c>
      <c r="R27" s="73">
        <f t="shared" si="0"/>
        <v>53.5</v>
      </c>
      <c r="S27" s="71">
        <f t="shared" si="1"/>
        <v>0.8</v>
      </c>
      <c r="T27" s="71">
        <f t="shared" si="2"/>
        <v>11</v>
      </c>
      <c r="U27" s="74">
        <f t="shared" si="3"/>
        <v>3.8909090909090911</v>
      </c>
      <c r="V27" s="73">
        <f>IF(Variable_Management!$B$20=3,2,IF((S27*R27/T27)&lt;((T27*(1-(T27/R27)))/(2*Lm*Fsw)),1,2))</f>
        <v>2</v>
      </c>
      <c r="W27" s="71">
        <f t="shared" si="13"/>
        <v>0.79439252336448596</v>
      </c>
      <c r="X27" s="74">
        <f t="shared" si="4"/>
        <v>0.20560747663551404</v>
      </c>
      <c r="Y27" s="73">
        <f t="shared" si="5"/>
        <v>5.8255451713395638</v>
      </c>
      <c r="Z27" s="71">
        <f t="shared" si="30"/>
        <v>6.803681676578873</v>
      </c>
      <c r="AA27" s="71">
        <f t="shared" si="31"/>
        <v>4.2387798872233056</v>
      </c>
      <c r="AB27" s="71">
        <v>0</v>
      </c>
      <c r="AC27" s="71">
        <f t="shared" si="6"/>
        <v>4.1324686344356279E-2</v>
      </c>
      <c r="AD27" s="74">
        <f t="shared" si="16"/>
        <v>4.1324686344356279E-2</v>
      </c>
      <c r="AE27" s="73">
        <f t="shared" si="29"/>
        <v>3.0909090909090908</v>
      </c>
      <c r="AF27" s="71">
        <f t="shared" si="17"/>
        <v>3.7779694259781533</v>
      </c>
      <c r="AG27" s="71">
        <f t="shared" si="7"/>
        <v>5.7092211934502791E-2</v>
      </c>
      <c r="AH27" s="71">
        <f t="shared" si="18"/>
        <v>0.69244261599319412</v>
      </c>
      <c r="AI27" s="74">
        <f t="shared" si="19"/>
        <v>0.74953482792769688</v>
      </c>
      <c r="AJ27" s="73">
        <f t="shared" si="20"/>
        <v>0.80000000000000016</v>
      </c>
      <c r="AK27" s="71">
        <f t="shared" si="21"/>
        <v>1.9220306836008425</v>
      </c>
      <c r="AL27" s="71">
        <f t="shared" si="8"/>
        <v>1.4776807794812488E-2</v>
      </c>
      <c r="AM27" s="71">
        <f t="shared" si="22"/>
        <v>2.3804000000000003</v>
      </c>
      <c r="AN27" s="188">
        <f t="shared" si="23"/>
        <v>8.1644180118946474E-2</v>
      </c>
      <c r="AO27" s="74">
        <f t="shared" si="24"/>
        <v>2.4768209879137588</v>
      </c>
      <c r="AP27" s="73">
        <f t="shared" si="25"/>
        <v>2.6950882398493227E-2</v>
      </c>
      <c r="AQ27" s="206">
        <f t="shared" si="9"/>
        <v>4.1324686344356279E-2</v>
      </c>
      <c r="AR27" s="206">
        <f t="shared" si="10"/>
        <v>3.0218089420955812</v>
      </c>
      <c r="AS27" s="71">
        <f t="shared" si="11"/>
        <v>0.16</v>
      </c>
      <c r="AT27" s="74">
        <f t="shared" si="12"/>
        <v>3.6299999999999995E-5</v>
      </c>
      <c r="AU27" s="73">
        <f t="shared" si="26"/>
        <v>6.5178013130242434</v>
      </c>
      <c r="AV27" s="71">
        <f t="shared" si="27"/>
        <v>42.800000000000004</v>
      </c>
      <c r="AW27" s="74">
        <f t="shared" si="28"/>
        <v>86.784079704496136</v>
      </c>
    </row>
    <row r="28" spans="17:49" x14ac:dyDescent="0.25">
      <c r="Q28">
        <v>21</v>
      </c>
      <c r="R28" s="73">
        <f t="shared" si="0"/>
        <v>53.5</v>
      </c>
      <c r="S28" s="71">
        <f t="shared" si="1"/>
        <v>0.84</v>
      </c>
      <c r="T28" s="71">
        <f t="shared" si="2"/>
        <v>11</v>
      </c>
      <c r="U28" s="74">
        <f t="shared" si="3"/>
        <v>4.085454545454545</v>
      </c>
      <c r="V28" s="73">
        <f>IF(Variable_Management!$B$20=3,2,IF((S28*R28/T28)&lt;((T28*(1-(T28/R28)))/(2*Lm*Fsw)),1,2))</f>
        <v>2</v>
      </c>
      <c r="W28" s="71">
        <f t="shared" si="13"/>
        <v>0.79439252336448596</v>
      </c>
      <c r="X28" s="74">
        <f t="shared" si="4"/>
        <v>0.20560747663551404</v>
      </c>
      <c r="Y28" s="73">
        <f t="shared" si="5"/>
        <v>5.8255451713395638</v>
      </c>
      <c r="Z28" s="71">
        <f t="shared" si="30"/>
        <v>6.9982271311243274</v>
      </c>
      <c r="AA28" s="71">
        <f t="shared" si="31"/>
        <v>4.4180335242712916</v>
      </c>
      <c r="AB28" s="71">
        <v>0</v>
      </c>
      <c r="AC28" s="71">
        <f t="shared" si="6"/>
        <v>4.4893746509645518E-2</v>
      </c>
      <c r="AD28" s="74">
        <f t="shared" si="16"/>
        <v>4.4893746509645518E-2</v>
      </c>
      <c r="AE28" s="73">
        <f t="shared" si="29"/>
        <v>3.2454545454545451</v>
      </c>
      <c r="AF28" s="71">
        <f t="shared" si="17"/>
        <v>3.9377358630852006</v>
      </c>
      <c r="AG28" s="71">
        <f t="shared" si="7"/>
        <v>6.2023054909709399E-2</v>
      </c>
      <c r="AH28" s="71">
        <f t="shared" si="18"/>
        <v>0.72706474679285371</v>
      </c>
      <c r="AI28" s="74">
        <f t="shared" si="19"/>
        <v>0.7890878017025631</v>
      </c>
      <c r="AJ28" s="73">
        <f t="shared" si="20"/>
        <v>0.84</v>
      </c>
      <c r="AK28" s="71">
        <f t="shared" si="21"/>
        <v>2.0033113822263546</v>
      </c>
      <c r="AL28" s="71">
        <f t="shared" si="8"/>
        <v>1.6053025976630671E-2</v>
      </c>
      <c r="AM28" s="71">
        <f t="shared" si="22"/>
        <v>2.3804000000000003</v>
      </c>
      <c r="AN28" s="188">
        <f t="shared" si="23"/>
        <v>8.3978725573491925E-2</v>
      </c>
      <c r="AO28" s="74">
        <f t="shared" si="24"/>
        <v>2.4804317515501229</v>
      </c>
      <c r="AP28" s="73">
        <f t="shared" si="25"/>
        <v>2.9278530332377515E-2</v>
      </c>
      <c r="AQ28" s="206">
        <f t="shared" si="9"/>
        <v>4.4893746509645518E-2</v>
      </c>
      <c r="AR28" s="206">
        <f t="shared" si="10"/>
        <v>3.0218089420955812</v>
      </c>
      <c r="AS28" s="71">
        <f t="shared" si="11"/>
        <v>0.16</v>
      </c>
      <c r="AT28" s="74">
        <f t="shared" si="12"/>
        <v>3.6299999999999995E-5</v>
      </c>
      <c r="AU28" s="73">
        <f t="shared" si="26"/>
        <v>6.5704308186999363</v>
      </c>
      <c r="AV28" s="71">
        <f t="shared" si="27"/>
        <v>44.94</v>
      </c>
      <c r="AW28" s="74">
        <f t="shared" si="28"/>
        <v>87.244465413566957</v>
      </c>
    </row>
    <row r="29" spans="17:49" x14ac:dyDescent="0.25">
      <c r="Q29">
        <v>22</v>
      </c>
      <c r="R29" s="73">
        <f t="shared" si="0"/>
        <v>53.5</v>
      </c>
      <c r="S29" s="71">
        <f t="shared" si="1"/>
        <v>0.88</v>
      </c>
      <c r="T29" s="71">
        <f t="shared" si="2"/>
        <v>11</v>
      </c>
      <c r="U29" s="74">
        <f t="shared" si="3"/>
        <v>4.28</v>
      </c>
      <c r="V29" s="73">
        <f>IF(Variable_Management!$B$20=3,2,IF((S29*R29/T29)&lt;((T29*(1-(T29/R29)))/(2*Lm*Fsw)),1,2))</f>
        <v>2</v>
      </c>
      <c r="W29" s="71">
        <f t="shared" si="13"/>
        <v>0.79439252336448596</v>
      </c>
      <c r="X29" s="74">
        <f t="shared" si="4"/>
        <v>0.20560747663551404</v>
      </c>
      <c r="Y29" s="73">
        <f t="shared" si="5"/>
        <v>5.8255451713395638</v>
      </c>
      <c r="Z29" s="71">
        <f t="shared" si="30"/>
        <v>7.1927725856697826</v>
      </c>
      <c r="AA29" s="71">
        <f t="shared" si="31"/>
        <v>4.5985303498628571</v>
      </c>
      <c r="AB29" s="71">
        <v>0</v>
      </c>
      <c r="AC29" s="71">
        <f t="shared" si="6"/>
        <v>4.863690717080256E-2</v>
      </c>
      <c r="AD29" s="74">
        <f t="shared" si="16"/>
        <v>4.863690717080256E-2</v>
      </c>
      <c r="AE29" s="73">
        <f t="shared" si="29"/>
        <v>3.4</v>
      </c>
      <c r="AF29" s="71">
        <f t="shared" si="17"/>
        <v>4.0986103379845664</v>
      </c>
      <c r="AG29" s="71">
        <f t="shared" si="7"/>
        <v>6.7194426810535848E-2</v>
      </c>
      <c r="AH29" s="71">
        <f t="shared" si="18"/>
        <v>0.76168687759251352</v>
      </c>
      <c r="AI29" s="74">
        <f t="shared" si="19"/>
        <v>0.82888130440304941</v>
      </c>
      <c r="AJ29" s="73">
        <f t="shared" si="20"/>
        <v>0.88000000000000012</v>
      </c>
      <c r="AK29" s="71">
        <f t="shared" si="21"/>
        <v>2.0851557917757249</v>
      </c>
      <c r="AL29" s="71">
        <f t="shared" si="8"/>
        <v>1.7391498703903403E-2</v>
      </c>
      <c r="AM29" s="71">
        <f t="shared" si="22"/>
        <v>2.3804000000000003</v>
      </c>
      <c r="AN29" s="188">
        <f t="shared" si="23"/>
        <v>8.6313271028037389E-2</v>
      </c>
      <c r="AO29" s="74">
        <f t="shared" si="24"/>
        <v>2.4841047697319412</v>
      </c>
      <c r="AP29" s="73">
        <f t="shared" si="25"/>
        <v>3.1719722067914714E-2</v>
      </c>
      <c r="AQ29" s="206">
        <f t="shared" si="9"/>
        <v>4.863690717080256E-2</v>
      </c>
      <c r="AR29" s="206">
        <f t="shared" si="10"/>
        <v>3.0218089420955812</v>
      </c>
      <c r="AS29" s="71">
        <f t="shared" si="11"/>
        <v>0.16</v>
      </c>
      <c r="AT29" s="74">
        <f t="shared" si="12"/>
        <v>3.6299999999999995E-5</v>
      </c>
      <c r="AU29" s="73">
        <f t="shared" si="26"/>
        <v>6.6238248526400918</v>
      </c>
      <c r="AV29" s="71">
        <f t="shared" si="27"/>
        <v>47.08</v>
      </c>
      <c r="AW29" s="74">
        <f t="shared" si="28"/>
        <v>87.666009132840259</v>
      </c>
    </row>
    <row r="30" spans="17:49" x14ac:dyDescent="0.25">
      <c r="Q30">
        <v>23</v>
      </c>
      <c r="R30" s="73">
        <f t="shared" si="0"/>
        <v>53.5</v>
      </c>
      <c r="S30" s="71">
        <f t="shared" si="1"/>
        <v>0.92</v>
      </c>
      <c r="T30" s="71">
        <f t="shared" si="2"/>
        <v>11</v>
      </c>
      <c r="U30" s="74">
        <f t="shared" si="3"/>
        <v>4.4745454545454546</v>
      </c>
      <c r="V30" s="73">
        <f>IF(Variable_Management!$B$20=3,2,IF((S30*R30/T30)&lt;((T30*(1-(T30/R30)))/(2*Lm*Fsw)),1,2))</f>
        <v>2</v>
      </c>
      <c r="W30" s="71">
        <f t="shared" si="13"/>
        <v>0.79439252336448596</v>
      </c>
      <c r="X30" s="74">
        <f t="shared" si="4"/>
        <v>0.20560747663551404</v>
      </c>
      <c r="Y30" s="73">
        <f t="shared" si="5"/>
        <v>5.8255451713395638</v>
      </c>
      <c r="Z30" s="71">
        <f t="shared" si="30"/>
        <v>7.3873180402152361</v>
      </c>
      <c r="AA30" s="71">
        <f t="shared" si="31"/>
        <v>4.780129538349688</v>
      </c>
      <c r="AB30" s="71">
        <v>0</v>
      </c>
      <c r="AC30" s="71">
        <f t="shared" si="6"/>
        <v>5.2554168327827361E-2</v>
      </c>
      <c r="AD30" s="74">
        <f t="shared" si="16"/>
        <v>5.2554168327827361E-2</v>
      </c>
      <c r="AE30" s="73">
        <f t="shared" si="29"/>
        <v>3.5545454545454547</v>
      </c>
      <c r="AF30" s="71">
        <f t="shared" si="17"/>
        <v>4.2604673346060906</v>
      </c>
      <c r="AG30" s="71">
        <f t="shared" si="7"/>
        <v>7.2606327636982104E-2</v>
      </c>
      <c r="AH30" s="71">
        <f t="shared" si="18"/>
        <v>0.79630900839217322</v>
      </c>
      <c r="AI30" s="74">
        <f t="shared" si="19"/>
        <v>0.86891533602915527</v>
      </c>
      <c r="AJ30" s="73">
        <f t="shared" si="20"/>
        <v>0.92000000000000015</v>
      </c>
      <c r="AK30" s="71">
        <f t="shared" si="21"/>
        <v>2.1675000563224134</v>
      </c>
      <c r="AL30" s="71">
        <f t="shared" si="8"/>
        <v>1.8792225976630661E-2</v>
      </c>
      <c r="AM30" s="71">
        <f t="shared" si="22"/>
        <v>2.3804000000000003</v>
      </c>
      <c r="AN30" s="188">
        <f t="shared" si="23"/>
        <v>8.8647816482582839E-2</v>
      </c>
      <c r="AO30" s="74">
        <f t="shared" si="24"/>
        <v>2.4878400424592138</v>
      </c>
      <c r="AP30" s="73">
        <f t="shared" si="25"/>
        <v>3.4274457605104801E-2</v>
      </c>
      <c r="AQ30" s="206">
        <f t="shared" si="9"/>
        <v>5.2554168327827361E-2</v>
      </c>
      <c r="AR30" s="206">
        <f t="shared" si="10"/>
        <v>3.0218089420955812</v>
      </c>
      <c r="AS30" s="71">
        <f t="shared" si="11"/>
        <v>0.16</v>
      </c>
      <c r="AT30" s="74">
        <f t="shared" si="12"/>
        <v>3.6299999999999995E-5</v>
      </c>
      <c r="AU30" s="73">
        <f t="shared" si="26"/>
        <v>6.6779834148447108</v>
      </c>
      <c r="AV30" s="71">
        <f t="shared" si="27"/>
        <v>49.22</v>
      </c>
      <c r="AW30" s="74">
        <f t="shared" si="28"/>
        <v>88.053265955438292</v>
      </c>
    </row>
    <row r="31" spans="17:49" x14ac:dyDescent="0.25">
      <c r="Q31">
        <v>24</v>
      </c>
      <c r="R31" s="73">
        <f t="shared" si="0"/>
        <v>53.5</v>
      </c>
      <c r="S31" s="71">
        <f t="shared" si="1"/>
        <v>0.96</v>
      </c>
      <c r="T31" s="71">
        <f t="shared" si="2"/>
        <v>11</v>
      </c>
      <c r="U31" s="74">
        <f t="shared" si="3"/>
        <v>4.669090909090909</v>
      </c>
      <c r="V31" s="73">
        <f>IF(Variable_Management!$B$20=3,2,IF((S31*R31/T31)&lt;((T31*(1-(T31/R31)))/(2*Lm*Fsw)),1,2))</f>
        <v>2</v>
      </c>
      <c r="W31" s="71">
        <f t="shared" si="13"/>
        <v>0.79439252336448596</v>
      </c>
      <c r="X31" s="74">
        <f t="shared" si="4"/>
        <v>0.20560747663551404</v>
      </c>
      <c r="Y31" s="73">
        <f t="shared" si="5"/>
        <v>5.8255451713395638</v>
      </c>
      <c r="Z31" s="71">
        <f t="shared" si="30"/>
        <v>7.5818634947606913</v>
      </c>
      <c r="AA31" s="71">
        <f t="shared" si="31"/>
        <v>4.9627100757514722</v>
      </c>
      <c r="AB31" s="71">
        <v>0</v>
      </c>
      <c r="AC31" s="71">
        <f t="shared" si="6"/>
        <v>5.6645529980719922E-2</v>
      </c>
      <c r="AD31" s="74">
        <f t="shared" si="16"/>
        <v>5.6645529980719922E-2</v>
      </c>
      <c r="AE31" s="73">
        <f t="shared" si="29"/>
        <v>3.709090909090909</v>
      </c>
      <c r="AF31" s="71">
        <f t="shared" si="17"/>
        <v>4.4231989947618295</v>
      </c>
      <c r="AG31" s="71">
        <f t="shared" si="7"/>
        <v>7.825875738904825E-2</v>
      </c>
      <c r="AH31" s="71">
        <f t="shared" si="18"/>
        <v>0.83093113919183281</v>
      </c>
      <c r="AI31" s="74">
        <f t="shared" si="19"/>
        <v>0.90918989658088112</v>
      </c>
      <c r="AJ31" s="73">
        <f t="shared" si="20"/>
        <v>0.96000000000000008</v>
      </c>
      <c r="AK31" s="71">
        <f t="shared" si="21"/>
        <v>2.2502893033348226</v>
      </c>
      <c r="AL31" s="71">
        <f t="shared" si="8"/>
        <v>2.0255207794812484E-2</v>
      </c>
      <c r="AM31" s="71">
        <f t="shared" si="22"/>
        <v>2.3804000000000003</v>
      </c>
      <c r="AN31" s="188">
        <f t="shared" si="23"/>
        <v>9.0982361937128303E-2</v>
      </c>
      <c r="AO31" s="74">
        <f t="shared" si="24"/>
        <v>2.4916375697319411</v>
      </c>
      <c r="AP31" s="73">
        <f t="shared" si="25"/>
        <v>3.6942736943947778E-2</v>
      </c>
      <c r="AQ31" s="206">
        <f t="shared" si="9"/>
        <v>5.6645529980719922E-2</v>
      </c>
      <c r="AR31" s="206">
        <f t="shared" si="10"/>
        <v>3.0218089420955812</v>
      </c>
      <c r="AS31" s="71">
        <f t="shared" si="11"/>
        <v>0.16</v>
      </c>
      <c r="AT31" s="74">
        <f t="shared" si="12"/>
        <v>3.6299999999999995E-5</v>
      </c>
      <c r="AU31" s="73">
        <f t="shared" si="26"/>
        <v>6.7329065053137906</v>
      </c>
      <c r="AV31" s="71">
        <f t="shared" si="27"/>
        <v>51.36</v>
      </c>
      <c r="AW31" s="74">
        <f t="shared" si="28"/>
        <v>88.410105621590944</v>
      </c>
    </row>
    <row r="32" spans="17:49" x14ac:dyDescent="0.25">
      <c r="Q32">
        <v>25</v>
      </c>
      <c r="R32" s="73">
        <f t="shared" si="0"/>
        <v>53.5</v>
      </c>
      <c r="S32" s="71">
        <f t="shared" si="1"/>
        <v>1</v>
      </c>
      <c r="T32" s="71">
        <f t="shared" si="2"/>
        <v>11</v>
      </c>
      <c r="U32" s="74">
        <f t="shared" si="3"/>
        <v>4.8636363636363633</v>
      </c>
      <c r="V32" s="73">
        <f>IF(Variable_Management!$B$20=3,2,IF((S32*R32/T32)&lt;((T32*(1-(T32/R32)))/(2*Lm*Fsw)),1,2))</f>
        <v>2</v>
      </c>
      <c r="W32" s="71">
        <f t="shared" si="13"/>
        <v>0.79439252336448596</v>
      </c>
      <c r="X32" s="74">
        <f t="shared" si="4"/>
        <v>0.20560747663551404</v>
      </c>
      <c r="Y32" s="73">
        <f t="shared" si="5"/>
        <v>5.8255451713395638</v>
      </c>
      <c r="Z32" s="71">
        <f t="shared" si="30"/>
        <v>7.7764089493061448</v>
      </c>
      <c r="AA32" s="71">
        <f t="shared" si="31"/>
        <v>5.1461675114881125</v>
      </c>
      <c r="AB32" s="71">
        <v>0</v>
      </c>
      <c r="AC32" s="71">
        <f t="shared" si="6"/>
        <v>6.0910992129480229E-2</v>
      </c>
      <c r="AD32" s="74">
        <f t="shared" si="16"/>
        <v>6.0910992129480229E-2</v>
      </c>
      <c r="AE32" s="73">
        <f t="shared" si="29"/>
        <v>3.8636363636363633</v>
      </c>
      <c r="AF32" s="71">
        <f t="shared" si="17"/>
        <v>4.5867122230071882</v>
      </c>
      <c r="AG32" s="71">
        <f t="shared" si="7"/>
        <v>8.4151716066734175E-2</v>
      </c>
      <c r="AH32" s="71">
        <f t="shared" si="18"/>
        <v>0.86555326999149251</v>
      </c>
      <c r="AI32" s="74">
        <f t="shared" si="19"/>
        <v>0.94970498605822673</v>
      </c>
      <c r="AJ32" s="73">
        <f t="shared" si="20"/>
        <v>1</v>
      </c>
      <c r="AK32" s="71">
        <f t="shared" si="21"/>
        <v>2.3334761707830256</v>
      </c>
      <c r="AL32" s="71">
        <f t="shared" si="8"/>
        <v>2.1780444158448847E-2</v>
      </c>
      <c r="AM32" s="71">
        <f t="shared" si="22"/>
        <v>2.3804000000000003</v>
      </c>
      <c r="AN32" s="188">
        <f t="shared" si="23"/>
        <v>9.331690739167374E-2</v>
      </c>
      <c r="AO32" s="74">
        <f t="shared" si="24"/>
        <v>2.4954973515501226</v>
      </c>
      <c r="AP32" s="73">
        <f t="shared" si="25"/>
        <v>3.9724560084443632E-2</v>
      </c>
      <c r="AQ32" s="206">
        <f t="shared" si="9"/>
        <v>6.0910992129480229E-2</v>
      </c>
      <c r="AR32" s="206">
        <f t="shared" si="10"/>
        <v>3.0218089420955812</v>
      </c>
      <c r="AS32" s="71">
        <f t="shared" si="11"/>
        <v>0.16</v>
      </c>
      <c r="AT32" s="74">
        <f t="shared" si="12"/>
        <v>3.6299999999999995E-5</v>
      </c>
      <c r="AU32" s="73">
        <f t="shared" si="26"/>
        <v>6.7885941240473349</v>
      </c>
      <c r="AV32" s="71">
        <f t="shared" si="27"/>
        <v>53.5</v>
      </c>
      <c r="AW32" s="74">
        <f t="shared" si="28"/>
        <v>88.739836742453477</v>
      </c>
    </row>
    <row r="33" spans="17:49" x14ac:dyDescent="0.25">
      <c r="Q33">
        <v>26</v>
      </c>
      <c r="R33" s="73">
        <f t="shared" si="0"/>
        <v>53.5</v>
      </c>
      <c r="S33" s="71">
        <f t="shared" si="1"/>
        <v>1.04</v>
      </c>
      <c r="T33" s="71">
        <f t="shared" si="2"/>
        <v>11</v>
      </c>
      <c r="U33" s="74">
        <f t="shared" si="3"/>
        <v>5.0581818181818186</v>
      </c>
      <c r="V33" s="73">
        <f>IF(Variable_Management!$B$20=3,2,IF((S33*R33/T33)&lt;((T33*(1-(T33/R33)))/(2*Lm*Fsw)),1,2))</f>
        <v>2</v>
      </c>
      <c r="W33" s="71">
        <f t="shared" si="13"/>
        <v>0.79439252336448596</v>
      </c>
      <c r="X33" s="74">
        <f t="shared" si="4"/>
        <v>0.20560747663551404</v>
      </c>
      <c r="Y33" s="73">
        <f t="shared" si="5"/>
        <v>5.8255451713395638</v>
      </c>
      <c r="Z33" s="71">
        <f t="shared" si="30"/>
        <v>7.9709544038516</v>
      </c>
      <c r="AA33" s="71">
        <f t="shared" si="31"/>
        <v>5.3304113053679956</v>
      </c>
      <c r="AB33" s="71">
        <v>0</v>
      </c>
      <c r="AC33" s="71">
        <f t="shared" si="6"/>
        <v>6.5350554774108352E-2</v>
      </c>
      <c r="AD33" s="74">
        <f t="shared" si="16"/>
        <v>6.5350554774108352E-2</v>
      </c>
      <c r="AE33" s="73">
        <f t="shared" si="29"/>
        <v>4.0181818181818185</v>
      </c>
      <c r="AF33" s="71">
        <f t="shared" si="17"/>
        <v>4.7509263220460483</v>
      </c>
      <c r="AG33" s="71">
        <f t="shared" si="7"/>
        <v>9.0285203670039962E-2</v>
      </c>
      <c r="AH33" s="71">
        <f t="shared" si="18"/>
        <v>0.90017540079115232</v>
      </c>
      <c r="AI33" s="74">
        <f t="shared" si="19"/>
        <v>0.99046060446119233</v>
      </c>
      <c r="AJ33" s="73">
        <f t="shared" si="20"/>
        <v>1.0400000000000003</v>
      </c>
      <c r="AK33" s="71">
        <f t="shared" si="21"/>
        <v>2.4170196041581749</v>
      </c>
      <c r="AL33" s="71">
        <f t="shared" si="8"/>
        <v>2.3367935067539761E-2</v>
      </c>
      <c r="AM33" s="71">
        <f t="shared" si="22"/>
        <v>2.3804000000000003</v>
      </c>
      <c r="AN33" s="188">
        <f t="shared" si="23"/>
        <v>9.5651452846219204E-2</v>
      </c>
      <c r="AO33" s="74">
        <f t="shared" si="24"/>
        <v>2.4994193879137594</v>
      </c>
      <c r="AP33" s="73">
        <f t="shared" si="25"/>
        <v>4.2619927026592411E-2</v>
      </c>
      <c r="AQ33" s="206">
        <f t="shared" si="9"/>
        <v>6.5350554774108352E-2</v>
      </c>
      <c r="AR33" s="206">
        <f t="shared" si="10"/>
        <v>3.0218089420955812</v>
      </c>
      <c r="AS33" s="71">
        <f t="shared" si="11"/>
        <v>0.16</v>
      </c>
      <c r="AT33" s="74">
        <f t="shared" si="12"/>
        <v>3.6299999999999995E-5</v>
      </c>
      <c r="AU33" s="73">
        <f t="shared" si="26"/>
        <v>6.8450462710453426</v>
      </c>
      <c r="AV33" s="71">
        <f t="shared" si="27"/>
        <v>55.64</v>
      </c>
      <c r="AW33" s="74">
        <f t="shared" si="28"/>
        <v>89.045304949678439</v>
      </c>
    </row>
    <row r="34" spans="17:49" x14ac:dyDescent="0.25">
      <c r="Q34">
        <v>27</v>
      </c>
      <c r="R34" s="73">
        <f t="shared" si="0"/>
        <v>53.5</v>
      </c>
      <c r="S34" s="71">
        <f t="shared" si="1"/>
        <v>1.08</v>
      </c>
      <c r="T34" s="71">
        <f t="shared" si="2"/>
        <v>11</v>
      </c>
      <c r="U34" s="74">
        <f t="shared" si="3"/>
        <v>5.2527272727272729</v>
      </c>
      <c r="V34" s="73">
        <f>IF(Variable_Management!$B$20=3,2,IF((S34*R34/T34)&lt;((T34*(1-(T34/R34)))/(2*Lm*Fsw)),1,2))</f>
        <v>2</v>
      </c>
      <c r="W34" s="71">
        <f t="shared" si="13"/>
        <v>0.79439252336448596</v>
      </c>
      <c r="X34" s="74">
        <f t="shared" si="4"/>
        <v>0.20560747663551404</v>
      </c>
      <c r="Y34" s="73">
        <f t="shared" si="5"/>
        <v>5.8255451713395638</v>
      </c>
      <c r="Z34" s="71">
        <f t="shared" si="30"/>
        <v>8.1654998583970553</v>
      </c>
      <c r="AA34" s="71">
        <f t="shared" si="31"/>
        <v>5.5153626517449155</v>
      </c>
      <c r="AB34" s="71">
        <v>0</v>
      </c>
      <c r="AC34" s="71">
        <f t="shared" si="6"/>
        <v>6.9964217914604221E-2</v>
      </c>
      <c r="AD34" s="74">
        <f t="shared" si="16"/>
        <v>6.9964217914604221E-2</v>
      </c>
      <c r="AE34" s="73">
        <f t="shared" si="29"/>
        <v>4.1727272727272728</v>
      </c>
      <c r="AF34" s="71">
        <f t="shared" si="17"/>
        <v>4.9157710534301131</v>
      </c>
      <c r="AG34" s="71">
        <f t="shared" si="7"/>
        <v>9.6659220198965612E-2</v>
      </c>
      <c r="AH34" s="71">
        <f t="shared" si="18"/>
        <v>0.93479753159081203</v>
      </c>
      <c r="AI34" s="74">
        <f t="shared" si="19"/>
        <v>1.0314567517897777</v>
      </c>
      <c r="AJ34" s="73">
        <f t="shared" si="20"/>
        <v>1.08</v>
      </c>
      <c r="AK34" s="71">
        <f t="shared" si="21"/>
        <v>2.5008838698590754</v>
      </c>
      <c r="AL34" s="71">
        <f t="shared" si="8"/>
        <v>2.5017680522085219E-2</v>
      </c>
      <c r="AM34" s="71">
        <f t="shared" si="22"/>
        <v>2.3804000000000003</v>
      </c>
      <c r="AN34" s="188">
        <f t="shared" si="23"/>
        <v>9.7985998300764668E-2</v>
      </c>
      <c r="AO34" s="74">
        <f t="shared" si="24"/>
        <v>2.5034036788228504</v>
      </c>
      <c r="AP34" s="73">
        <f t="shared" si="25"/>
        <v>4.562883777039406E-2</v>
      </c>
      <c r="AQ34" s="206">
        <f t="shared" si="9"/>
        <v>6.9964217914604221E-2</v>
      </c>
      <c r="AR34" s="206">
        <f t="shared" si="10"/>
        <v>3.0218089420955812</v>
      </c>
      <c r="AS34" s="71">
        <f t="shared" si="11"/>
        <v>0.16</v>
      </c>
      <c r="AT34" s="74">
        <f t="shared" si="12"/>
        <v>3.6299999999999995E-5</v>
      </c>
      <c r="AU34" s="73">
        <f t="shared" si="26"/>
        <v>6.9022629463078129</v>
      </c>
      <c r="AV34" s="71">
        <f t="shared" si="27"/>
        <v>57.78</v>
      </c>
      <c r="AW34" s="74">
        <f t="shared" si="28"/>
        <v>89.328971139990372</v>
      </c>
    </row>
    <row r="35" spans="17:49" x14ac:dyDescent="0.25">
      <c r="Q35">
        <v>28</v>
      </c>
      <c r="R35" s="73">
        <f t="shared" si="0"/>
        <v>53.5</v>
      </c>
      <c r="S35" s="71">
        <f t="shared" si="1"/>
        <v>1.1200000000000001</v>
      </c>
      <c r="T35" s="71">
        <f t="shared" si="2"/>
        <v>11</v>
      </c>
      <c r="U35" s="74">
        <f t="shared" si="3"/>
        <v>5.4472727272727282</v>
      </c>
      <c r="V35" s="73">
        <f>IF(Variable_Management!$B$20=3,2,IF((S35*R35/T35)&lt;((T35*(1-(T35/R35)))/(2*Lm*Fsw)),1,2))</f>
        <v>2</v>
      </c>
      <c r="W35" s="71">
        <f t="shared" si="13"/>
        <v>0.79439252336448596</v>
      </c>
      <c r="X35" s="74">
        <f t="shared" si="4"/>
        <v>0.20560747663551404</v>
      </c>
      <c r="Y35" s="73">
        <f t="shared" si="5"/>
        <v>5.8255451713395638</v>
      </c>
      <c r="Z35" s="71">
        <f t="shared" si="30"/>
        <v>8.3600453129425105</v>
      </c>
      <c r="AA35" s="71">
        <f t="shared" si="31"/>
        <v>5.7009526873934915</v>
      </c>
      <c r="AB35" s="71">
        <v>0</v>
      </c>
      <c r="AC35" s="71">
        <f t="shared" si="6"/>
        <v>7.4751981550967864E-2</v>
      </c>
      <c r="AD35" s="74">
        <f t="shared" si="16"/>
        <v>7.4751981550967864E-2</v>
      </c>
      <c r="AE35" s="73">
        <f t="shared" si="29"/>
        <v>4.327272727272728</v>
      </c>
      <c r="AF35" s="71">
        <f t="shared" si="17"/>
        <v>5.081185040261551</v>
      </c>
      <c r="AG35" s="71">
        <f t="shared" si="7"/>
        <v>0.10327376565351112</v>
      </c>
      <c r="AH35" s="71">
        <f t="shared" si="18"/>
        <v>0.96941966239047195</v>
      </c>
      <c r="AI35" s="74">
        <f t="shared" si="19"/>
        <v>1.072693428043983</v>
      </c>
      <c r="AJ35" s="73">
        <f t="shared" si="20"/>
        <v>1.1200000000000003</v>
      </c>
      <c r="AK35" s="71">
        <f t="shared" si="21"/>
        <v>2.5850377425719162</v>
      </c>
      <c r="AL35" s="71">
        <f t="shared" si="8"/>
        <v>2.6729680522085235E-2</v>
      </c>
      <c r="AM35" s="71">
        <f t="shared" si="22"/>
        <v>2.3804000000000003</v>
      </c>
      <c r="AN35" s="188">
        <f t="shared" si="23"/>
        <v>0.10032054375531013</v>
      </c>
      <c r="AO35" s="74">
        <f t="shared" si="24"/>
        <v>2.5074502242773957</v>
      </c>
      <c r="AP35" s="73">
        <f t="shared" si="25"/>
        <v>4.8751292315848606E-2</v>
      </c>
      <c r="AQ35" s="206">
        <f t="shared" si="9"/>
        <v>7.4751981550967864E-2</v>
      </c>
      <c r="AR35" s="206">
        <f t="shared" si="10"/>
        <v>3.0218089420955812</v>
      </c>
      <c r="AS35" s="71">
        <f t="shared" si="11"/>
        <v>0.16</v>
      </c>
      <c r="AT35" s="74">
        <f t="shared" si="12"/>
        <v>3.6299999999999995E-5</v>
      </c>
      <c r="AU35" s="73">
        <f t="shared" si="26"/>
        <v>6.9602441498347449</v>
      </c>
      <c r="AV35" s="71">
        <f t="shared" si="27"/>
        <v>59.920000000000009</v>
      </c>
      <c r="AW35" s="74">
        <f t="shared" si="28"/>
        <v>89.592974370366534</v>
      </c>
    </row>
    <row r="36" spans="17:49" x14ac:dyDescent="0.25">
      <c r="Q36">
        <v>29</v>
      </c>
      <c r="R36" s="73">
        <f t="shared" si="0"/>
        <v>53.5</v>
      </c>
      <c r="S36" s="71">
        <f t="shared" si="1"/>
        <v>1.1599999999999999</v>
      </c>
      <c r="T36" s="71">
        <f t="shared" si="2"/>
        <v>11</v>
      </c>
      <c r="U36" s="74">
        <f t="shared" si="3"/>
        <v>5.6418181818181816</v>
      </c>
      <c r="V36" s="73">
        <f>IF(Variable_Management!$B$20=3,2,IF((S36*R36/T36)&lt;((T36*(1-(T36/R36)))/(2*Lm*Fsw)),1,2))</f>
        <v>2</v>
      </c>
      <c r="W36" s="71">
        <f t="shared" si="13"/>
        <v>0.79439252336448596</v>
      </c>
      <c r="X36" s="74">
        <f t="shared" si="4"/>
        <v>0.20560747663551404</v>
      </c>
      <c r="Y36" s="73">
        <f t="shared" si="5"/>
        <v>5.8255451713395638</v>
      </c>
      <c r="Z36" s="71">
        <f t="shared" si="30"/>
        <v>8.554590767487964</v>
      </c>
      <c r="AA36" s="71">
        <f t="shared" si="31"/>
        <v>5.8871210090590136</v>
      </c>
      <c r="AB36" s="71">
        <v>0</v>
      </c>
      <c r="AC36" s="71">
        <f t="shared" si="6"/>
        <v>7.9713845683199253E-2</v>
      </c>
      <c r="AD36" s="74">
        <f t="shared" si="16"/>
        <v>7.9713845683199253E-2</v>
      </c>
      <c r="AE36" s="73">
        <f t="shared" si="29"/>
        <v>4.4818181818181815</v>
      </c>
      <c r="AF36" s="71">
        <f t="shared" si="17"/>
        <v>5.2471144459044421</v>
      </c>
      <c r="AG36" s="71">
        <f t="shared" si="7"/>
        <v>0.11012884003367633</v>
      </c>
      <c r="AH36" s="71">
        <f t="shared" si="18"/>
        <v>1.0040417931901313</v>
      </c>
      <c r="AI36" s="74">
        <f t="shared" si="19"/>
        <v>1.1141706332238077</v>
      </c>
      <c r="AJ36" s="73">
        <f t="shared" si="20"/>
        <v>1.1600000000000001</v>
      </c>
      <c r="AK36" s="71">
        <f t="shared" si="21"/>
        <v>2.6694538330686557</v>
      </c>
      <c r="AL36" s="71">
        <f t="shared" si="8"/>
        <v>2.8503935067539753E-2</v>
      </c>
      <c r="AM36" s="71">
        <f t="shared" si="22"/>
        <v>2.3804000000000003</v>
      </c>
      <c r="AN36" s="188">
        <f t="shared" si="23"/>
        <v>0.10265508920985557</v>
      </c>
      <c r="AO36" s="74">
        <f t="shared" si="24"/>
        <v>2.5115590242773953</v>
      </c>
      <c r="AP36" s="73">
        <f t="shared" si="25"/>
        <v>5.1987290662956029E-2</v>
      </c>
      <c r="AQ36" s="206">
        <f t="shared" si="9"/>
        <v>7.9713845683199253E-2</v>
      </c>
      <c r="AR36" s="206">
        <f t="shared" si="10"/>
        <v>3.0218089420955812</v>
      </c>
      <c r="AS36" s="71">
        <f t="shared" si="11"/>
        <v>0.16</v>
      </c>
      <c r="AT36" s="74">
        <f t="shared" si="12"/>
        <v>3.6299999999999995E-5</v>
      </c>
      <c r="AU36" s="73">
        <f t="shared" si="26"/>
        <v>7.0189898816261387</v>
      </c>
      <c r="AV36" s="71">
        <f t="shared" si="27"/>
        <v>62.059999999999995</v>
      </c>
      <c r="AW36" s="74">
        <f t="shared" si="28"/>
        <v>89.839182805576797</v>
      </c>
    </row>
    <row r="37" spans="17:49" x14ac:dyDescent="0.25">
      <c r="Q37">
        <v>30</v>
      </c>
      <c r="R37" s="73">
        <f t="shared" si="0"/>
        <v>53.5</v>
      </c>
      <c r="S37" s="71">
        <f t="shared" si="1"/>
        <v>1.2</v>
      </c>
      <c r="T37" s="71">
        <f t="shared" si="2"/>
        <v>11</v>
      </c>
      <c r="U37" s="74">
        <f t="shared" si="3"/>
        <v>5.8363636363636369</v>
      </c>
      <c r="V37" s="73">
        <f>IF(Variable_Management!$B$20=3,2,IF((S37*R37/T37)&lt;((T37*(1-(T37/R37)))/(2*Lm*Fsw)),1,2))</f>
        <v>2</v>
      </c>
      <c r="W37" s="71">
        <f t="shared" si="13"/>
        <v>0.79439252336448596</v>
      </c>
      <c r="X37" s="74">
        <f t="shared" si="4"/>
        <v>0.20560747663551404</v>
      </c>
      <c r="Y37" s="73">
        <f t="shared" si="5"/>
        <v>5.8255451713395638</v>
      </c>
      <c r="Z37" s="71">
        <f t="shared" si="30"/>
        <v>8.7491362220334192</v>
      </c>
      <c r="AA37" s="71">
        <f t="shared" si="31"/>
        <v>6.0738144418872055</v>
      </c>
      <c r="AB37" s="71">
        <v>0</v>
      </c>
      <c r="AC37" s="71">
        <f t="shared" si="6"/>
        <v>8.4849810311298443E-2</v>
      </c>
      <c r="AD37" s="74">
        <f t="shared" si="16"/>
        <v>8.4849810311298443E-2</v>
      </c>
      <c r="AE37" s="73">
        <f t="shared" si="29"/>
        <v>4.6363636363636367</v>
      </c>
      <c r="AF37" s="71">
        <f t="shared" si="17"/>
        <v>5.4135118763022385</v>
      </c>
      <c r="AG37" s="71">
        <f t="shared" si="7"/>
        <v>0.11722444333946153</v>
      </c>
      <c r="AH37" s="71">
        <f t="shared" si="18"/>
        <v>1.038663923989791</v>
      </c>
      <c r="AI37" s="74">
        <f t="shared" si="19"/>
        <v>1.1558883673292526</v>
      </c>
      <c r="AJ37" s="73">
        <f t="shared" si="20"/>
        <v>1.2000000000000002</v>
      </c>
      <c r="AK37" s="71">
        <f t="shared" si="21"/>
        <v>2.7541080297643039</v>
      </c>
      <c r="AL37" s="71">
        <f t="shared" si="8"/>
        <v>3.0340444158448866E-2</v>
      </c>
      <c r="AM37" s="71">
        <f t="shared" si="22"/>
        <v>2.3804000000000003</v>
      </c>
      <c r="AN37" s="188">
        <f t="shared" si="23"/>
        <v>0.10498963466440103</v>
      </c>
      <c r="AO37" s="74">
        <f t="shared" si="24"/>
        <v>2.51573007882285</v>
      </c>
      <c r="AP37" s="73">
        <f t="shared" si="25"/>
        <v>5.5336832811716384E-2</v>
      </c>
      <c r="AQ37" s="206">
        <f t="shared" si="9"/>
        <v>8.4849810311298443E-2</v>
      </c>
      <c r="AR37" s="206">
        <f t="shared" si="10"/>
        <v>3.0218089420955812</v>
      </c>
      <c r="AS37" s="71">
        <f t="shared" si="11"/>
        <v>0.16</v>
      </c>
      <c r="AT37" s="74">
        <f t="shared" si="12"/>
        <v>3.6299999999999995E-5</v>
      </c>
      <c r="AU37" s="73">
        <f t="shared" si="26"/>
        <v>7.0785001416819977</v>
      </c>
      <c r="AV37" s="71">
        <f t="shared" si="27"/>
        <v>64.2</v>
      </c>
      <c r="AW37" s="74">
        <f t="shared" si="28"/>
        <v>90.069235284676452</v>
      </c>
    </row>
    <row r="38" spans="17:49" x14ac:dyDescent="0.25">
      <c r="Q38">
        <v>31</v>
      </c>
      <c r="R38" s="73">
        <f t="shared" si="0"/>
        <v>53.5</v>
      </c>
      <c r="S38" s="71">
        <f t="shared" si="1"/>
        <v>1.24</v>
      </c>
      <c r="T38" s="71">
        <f t="shared" si="2"/>
        <v>11</v>
      </c>
      <c r="U38" s="74">
        <f t="shared" si="3"/>
        <v>6.0309090909090912</v>
      </c>
      <c r="V38" s="73">
        <f>IF(Variable_Management!$B$20=3,2,IF((S38*R38/T38)&lt;((T38*(1-(T38/R38)))/(2*Lm*Fsw)),1,2))</f>
        <v>2</v>
      </c>
      <c r="W38" s="71">
        <f t="shared" si="13"/>
        <v>0.79439252336448596</v>
      </c>
      <c r="X38" s="74">
        <f t="shared" si="4"/>
        <v>0.20560747663551404</v>
      </c>
      <c r="Y38" s="73">
        <f t="shared" si="5"/>
        <v>5.8255451713395638</v>
      </c>
      <c r="Z38" s="71">
        <f t="shared" si="30"/>
        <v>8.9436816765788727</v>
      </c>
      <c r="AA38" s="71">
        <f t="shared" si="31"/>
        <v>6.2609860119169518</v>
      </c>
      <c r="AB38" s="71">
        <v>0</v>
      </c>
      <c r="AC38" s="71">
        <f t="shared" si="6"/>
        <v>9.015987543526538E-2</v>
      </c>
      <c r="AD38" s="74">
        <f t="shared" si="16"/>
        <v>9.015987543526538E-2</v>
      </c>
      <c r="AE38" s="73">
        <f t="shared" si="29"/>
        <v>4.790909090909091</v>
      </c>
      <c r="AF38" s="71">
        <f t="shared" si="17"/>
        <v>5.5803354641738707</v>
      </c>
      <c r="AG38" s="71">
        <f t="shared" si="7"/>
        <v>0.12456057557086643</v>
      </c>
      <c r="AH38" s="71">
        <f t="shared" si="18"/>
        <v>1.0732860547894507</v>
      </c>
      <c r="AI38" s="74">
        <f t="shared" si="19"/>
        <v>1.1978466303603172</v>
      </c>
      <c r="AJ38" s="73">
        <f t="shared" si="20"/>
        <v>1.2400000000000002</v>
      </c>
      <c r="AK38" s="71">
        <f t="shared" si="21"/>
        <v>2.8389790328044202</v>
      </c>
      <c r="AL38" s="71">
        <f t="shared" si="8"/>
        <v>3.2239207794812486E-2</v>
      </c>
      <c r="AM38" s="71">
        <f t="shared" si="22"/>
        <v>2.3804000000000003</v>
      </c>
      <c r="AN38" s="188">
        <f t="shared" si="23"/>
        <v>0.10732418011894647</v>
      </c>
      <c r="AO38" s="74">
        <f t="shared" si="24"/>
        <v>2.5199633879137595</v>
      </c>
      <c r="AP38" s="73">
        <f t="shared" si="25"/>
        <v>5.8799918762129602E-2</v>
      </c>
      <c r="AQ38" s="206">
        <f t="shared" si="9"/>
        <v>9.015987543526538E-2</v>
      </c>
      <c r="AR38" s="206">
        <f t="shared" si="10"/>
        <v>3.0218089420955812</v>
      </c>
      <c r="AS38" s="71">
        <f t="shared" si="11"/>
        <v>0.16</v>
      </c>
      <c r="AT38" s="74">
        <f t="shared" si="12"/>
        <v>3.6299999999999995E-5</v>
      </c>
      <c r="AU38" s="73">
        <f t="shared" si="26"/>
        <v>7.1387749300023184</v>
      </c>
      <c r="AV38" s="71">
        <f t="shared" si="27"/>
        <v>66.34</v>
      </c>
      <c r="AW38" s="74">
        <f t="shared" si="28"/>
        <v>90.28457546168552</v>
      </c>
    </row>
    <row r="39" spans="17:49" x14ac:dyDescent="0.25">
      <c r="Q39">
        <v>32</v>
      </c>
      <c r="R39" s="73">
        <f t="shared" si="0"/>
        <v>53.5</v>
      </c>
      <c r="S39" s="71">
        <f t="shared" ref="S39:S70" si="32">Q39*$O$12</f>
        <v>1.28</v>
      </c>
      <c r="T39" s="71">
        <f t="shared" si="2"/>
        <v>11</v>
      </c>
      <c r="U39" s="74">
        <f t="shared" ref="U39:U70" si="33">(R39*S39)/(T39*EFF_est)</f>
        <v>6.2254545454545456</v>
      </c>
      <c r="V39" s="73">
        <f>IF(Variable_Management!$B$20=3,2,IF((S39*R39/T39)&lt;((T39*(1-(T39/R39)))/(2*Lm*Fsw)),1,2))</f>
        <v>2</v>
      </c>
      <c r="W39" s="71">
        <f t="shared" ref="W39:W70" si="34">CHOOSE(V39,SQRT((2*S39*Lm*Fsw*(R39-T39))/((T39)^2)),1-(T39/R39))</f>
        <v>0.79439252336448596</v>
      </c>
      <c r="X39" s="74">
        <f t="shared" ref="X39:X70" si="35">CHOOSE(V39,(Lm*Z39*Fsw)/(R39-T39),1-W39)</f>
        <v>0.20560747663551404</v>
      </c>
      <c r="Y39" s="73">
        <f t="shared" ref="Y39:Y70" si="36">(T39*W39)/(Lm*Fsw)</f>
        <v>5.8255451713395638</v>
      </c>
      <c r="Z39" s="71">
        <f t="shared" si="30"/>
        <v>9.1382271311243279</v>
      </c>
      <c r="AA39" s="71">
        <f t="shared" si="31"/>
        <v>6.4485940852352055</v>
      </c>
      <c r="AB39" s="71">
        <v>0</v>
      </c>
      <c r="AC39" s="71">
        <f t="shared" ref="AC39:AC70" si="37">(AA39^2)*Rdcr</f>
        <v>9.564404105510009E-2</v>
      </c>
      <c r="AD39" s="74">
        <f t="shared" si="16"/>
        <v>9.564404105510009E-2</v>
      </c>
      <c r="AE39" s="73">
        <f t="shared" si="29"/>
        <v>4.9454545454545453</v>
      </c>
      <c r="AF39" s="71">
        <f t="shared" si="17"/>
        <v>5.747548101753722</v>
      </c>
      <c r="AG39" s="71">
        <f t="shared" ref="AG39:AG70" si="38">(AF39^2)*RDS_on</f>
        <v>0.13213723672789127</v>
      </c>
      <c r="AH39" s="71">
        <f t="shared" ref="AH39:AH70" si="39">((R39*U39)/2)*Fsw*(tr_sw+tf_sw)</f>
        <v>1.1079081855891104</v>
      </c>
      <c r="AI39" s="74">
        <f t="shared" si="19"/>
        <v>1.2400454223170017</v>
      </c>
      <c r="AJ39" s="73">
        <f t="shared" si="20"/>
        <v>1.2800000000000002</v>
      </c>
      <c r="AK39" s="71">
        <f t="shared" ref="AK39:AK70" si="40">CHOOSE(V39,Z39*SQRT(X39/3),SQRT(X39*((Z39^2)+((Y39^2)/3)-(Y39*Z39))))</f>
        <v>2.9240479637238628</v>
      </c>
      <c r="AL39" s="71">
        <f t="shared" ref="AL39:AL70" si="41">(AK39^2)*RDS_on_HS</f>
        <v>3.420022597663068E-2</v>
      </c>
      <c r="AM39" s="71">
        <f t="shared" si="22"/>
        <v>2.3804000000000003</v>
      </c>
      <c r="AN39" s="188">
        <f t="shared" ref="AN39:AN70" si="42">Vd_rect*t_dead*Fsw*Z39</f>
        <v>0.10965872557349193</v>
      </c>
      <c r="AO39" s="74">
        <f t="shared" si="24"/>
        <v>2.5242589515501228</v>
      </c>
      <c r="AP39" s="73">
        <f t="shared" ref="AP39:AP70" si="43">(AA39^2)*R_cs</f>
        <v>6.2376548514195711E-2</v>
      </c>
      <c r="AQ39" s="206">
        <f t="shared" ref="AQ39:AQ70" si="44">Rdcr*AA39^2</f>
        <v>9.564404105510009E-2</v>
      </c>
      <c r="AR39" s="206">
        <f t="shared" ref="AR39:AR70" si="45">ABS(7.759*10^-3*Fsw^0.9458*(0.00787*Y39)^2.304)</f>
        <v>3.0218089420955812</v>
      </c>
      <c r="AS39" s="71">
        <f t="shared" ref="AS39:AS70" si="46">(Qg_tot+Qg_tot_HS)*Vcc*Fsw</f>
        <v>0.16</v>
      </c>
      <c r="AT39" s="74">
        <f t="shared" ref="AT39:AT70" si="47">IQ*T39</f>
        <v>3.6299999999999995E-5</v>
      </c>
      <c r="AU39" s="73">
        <f t="shared" si="26"/>
        <v>7.1998142465871009</v>
      </c>
      <c r="AV39" s="71">
        <f t="shared" si="27"/>
        <v>68.48</v>
      </c>
      <c r="AW39" s="74">
        <f t="shared" si="28"/>
        <v>90.486480023420796</v>
      </c>
    </row>
    <row r="40" spans="17:49" x14ac:dyDescent="0.25">
      <c r="Q40">
        <v>33</v>
      </c>
      <c r="R40" s="73">
        <f t="shared" si="0"/>
        <v>53.5</v>
      </c>
      <c r="S40" s="71">
        <f t="shared" si="32"/>
        <v>1.32</v>
      </c>
      <c r="T40" s="71">
        <f t="shared" si="2"/>
        <v>11</v>
      </c>
      <c r="U40" s="74">
        <f t="shared" si="33"/>
        <v>6.4200000000000008</v>
      </c>
      <c r="V40" s="73">
        <f>IF(Variable_Management!$B$20=3,2,IF((S40*R40/T40)&lt;((T40*(1-(T40/R40)))/(2*Lm*Fsw)),1,2))</f>
        <v>2</v>
      </c>
      <c r="W40" s="71">
        <f t="shared" si="34"/>
        <v>0.79439252336448596</v>
      </c>
      <c r="X40" s="74">
        <f t="shared" si="35"/>
        <v>0.20560747663551404</v>
      </c>
      <c r="Y40" s="73">
        <f t="shared" si="36"/>
        <v>5.8255451713395638</v>
      </c>
      <c r="Z40" s="71">
        <f t="shared" si="30"/>
        <v>9.3327725856697832</v>
      </c>
      <c r="AA40" s="71">
        <f t="shared" si="31"/>
        <v>6.6366016438091124</v>
      </c>
      <c r="AB40" s="71">
        <v>0</v>
      </c>
      <c r="AC40" s="71">
        <f t="shared" si="37"/>
        <v>0.10130230717080257</v>
      </c>
      <c r="AD40" s="74">
        <f t="shared" si="16"/>
        <v>0.10130230717080257</v>
      </c>
      <c r="AE40" s="73">
        <f t="shared" si="29"/>
        <v>5.1000000000000005</v>
      </c>
      <c r="AF40" s="71">
        <f t="shared" si="17"/>
        <v>5.9151167953501966</v>
      </c>
      <c r="AG40" s="71">
        <f t="shared" si="38"/>
        <v>0.13995442681053594</v>
      </c>
      <c r="AH40" s="71">
        <f t="shared" si="39"/>
        <v>1.1425303163887701</v>
      </c>
      <c r="AI40" s="74">
        <f t="shared" si="19"/>
        <v>1.2824847431993061</v>
      </c>
      <c r="AJ40" s="73">
        <f t="shared" si="20"/>
        <v>1.3200000000000003</v>
      </c>
      <c r="AK40" s="71">
        <f t="shared" si="40"/>
        <v>3.0092980370803843</v>
      </c>
      <c r="AL40" s="71">
        <f t="shared" si="41"/>
        <v>3.6223498703903415E-2</v>
      </c>
      <c r="AM40" s="71">
        <f t="shared" ref="AM40:AM71" si="48">CHOOSE(V40,(R40+Vd_rect)*Qrr*Fsw,(R40+Vd_rect)*Qrr*Fsw)</f>
        <v>2.3804000000000003</v>
      </c>
      <c r="AN40" s="188">
        <f t="shared" si="42"/>
        <v>0.1119932710280374</v>
      </c>
      <c r="AO40" s="74">
        <f t="shared" si="24"/>
        <v>2.5286167697319413</v>
      </c>
      <c r="AP40" s="73">
        <f t="shared" si="43"/>
        <v>6.6066722067914724E-2</v>
      </c>
      <c r="AQ40" s="206">
        <f t="shared" si="44"/>
        <v>0.10130230717080257</v>
      </c>
      <c r="AR40" s="206">
        <f t="shared" si="45"/>
        <v>3.0218089420955812</v>
      </c>
      <c r="AS40" s="71">
        <f t="shared" si="46"/>
        <v>0.16</v>
      </c>
      <c r="AT40" s="74">
        <f t="shared" si="47"/>
        <v>3.6299999999999995E-5</v>
      </c>
      <c r="AU40" s="73">
        <f t="shared" si="26"/>
        <v>7.2616180914363477</v>
      </c>
      <c r="AV40" s="71">
        <f t="shared" si="27"/>
        <v>70.62</v>
      </c>
      <c r="AW40" s="74">
        <f t="shared" si="28"/>
        <v>90.676082149563328</v>
      </c>
    </row>
    <row r="41" spans="17:49" x14ac:dyDescent="0.25">
      <c r="Q41">
        <v>34</v>
      </c>
      <c r="R41" s="73">
        <f t="shared" si="0"/>
        <v>53.5</v>
      </c>
      <c r="S41" s="71">
        <f t="shared" si="32"/>
        <v>1.36</v>
      </c>
      <c r="T41" s="71">
        <f t="shared" si="2"/>
        <v>11</v>
      </c>
      <c r="U41" s="74">
        <f t="shared" si="33"/>
        <v>6.6145454545454552</v>
      </c>
      <c r="V41" s="73">
        <f>IF(Variable_Management!$B$20=3,2,IF((S41*R41/T41)&lt;((T41*(1-(T41/R41)))/(2*Lm*Fsw)),1,2))</f>
        <v>2</v>
      </c>
      <c r="W41" s="71">
        <f t="shared" si="34"/>
        <v>0.79439252336448596</v>
      </c>
      <c r="X41" s="74">
        <f t="shared" si="35"/>
        <v>0.20560747663551404</v>
      </c>
      <c r="Y41" s="73">
        <f t="shared" si="36"/>
        <v>5.8255451713395638</v>
      </c>
      <c r="Z41" s="71">
        <f t="shared" si="30"/>
        <v>9.5273180402152366</v>
      </c>
      <c r="AA41" s="71">
        <f t="shared" si="31"/>
        <v>6.8249756738656409</v>
      </c>
      <c r="AB41" s="71">
        <v>0</v>
      </c>
      <c r="AC41" s="71">
        <f t="shared" si="37"/>
        <v>0.10713467378237285</v>
      </c>
      <c r="AD41" s="74">
        <f t="shared" si="16"/>
        <v>0.10713467378237285</v>
      </c>
      <c r="AE41" s="73">
        <f t="shared" si="29"/>
        <v>5.2545454545454549</v>
      </c>
      <c r="AF41" s="71">
        <f t="shared" si="17"/>
        <v>6.0830121202164378</v>
      </c>
      <c r="AG41" s="71">
        <f t="shared" si="38"/>
        <v>0.14801214581880032</v>
      </c>
      <c r="AH41" s="71">
        <f t="shared" si="39"/>
        <v>1.17715244718843</v>
      </c>
      <c r="AI41" s="74">
        <f t="shared" si="19"/>
        <v>1.3251645930072304</v>
      </c>
      <c r="AJ41" s="73">
        <f t="shared" si="20"/>
        <v>1.3600000000000003</v>
      </c>
      <c r="AK41" s="71">
        <f t="shared" si="40"/>
        <v>3.0947142831217338</v>
      </c>
      <c r="AL41" s="71">
        <f t="shared" si="41"/>
        <v>3.8309025976630662E-2</v>
      </c>
      <c r="AM41" s="71">
        <f t="shared" si="48"/>
        <v>2.3804000000000003</v>
      </c>
      <c r="AN41" s="188">
        <f t="shared" si="42"/>
        <v>0.11432781648258285</v>
      </c>
      <c r="AO41" s="74">
        <f t="shared" si="24"/>
        <v>2.5330368424592136</v>
      </c>
      <c r="AP41" s="73">
        <f t="shared" si="43"/>
        <v>6.9870439423286648E-2</v>
      </c>
      <c r="AQ41" s="206">
        <f t="shared" si="44"/>
        <v>0.10713467378237285</v>
      </c>
      <c r="AR41" s="206">
        <f t="shared" si="45"/>
        <v>3.0218089420955812</v>
      </c>
      <c r="AS41" s="71">
        <f t="shared" si="46"/>
        <v>0.16</v>
      </c>
      <c r="AT41" s="74">
        <f t="shared" si="47"/>
        <v>3.6299999999999995E-5</v>
      </c>
      <c r="AU41" s="73">
        <f t="shared" si="26"/>
        <v>7.3241864645500572</v>
      </c>
      <c r="AV41" s="71">
        <f t="shared" si="27"/>
        <v>72.760000000000005</v>
      </c>
      <c r="AW41" s="74">
        <f t="shared" si="28"/>
        <v>90.854391125278937</v>
      </c>
    </row>
    <row r="42" spans="17:49" x14ac:dyDescent="0.25">
      <c r="Q42">
        <v>35</v>
      </c>
      <c r="R42" s="73">
        <f t="shared" si="0"/>
        <v>53.5</v>
      </c>
      <c r="S42" s="71">
        <f t="shared" si="32"/>
        <v>1.4000000000000001</v>
      </c>
      <c r="T42" s="71">
        <f t="shared" si="2"/>
        <v>11</v>
      </c>
      <c r="U42" s="74">
        <f t="shared" si="33"/>
        <v>6.8090909090909095</v>
      </c>
      <c r="V42" s="73">
        <f>IF(Variable_Management!$B$20=3,2,IF((S42*R42/T42)&lt;((T42*(1-(T42/R42)))/(2*Lm*Fsw)),1,2))</f>
        <v>2</v>
      </c>
      <c r="W42" s="71">
        <f t="shared" si="34"/>
        <v>0.79439252336448596</v>
      </c>
      <c r="X42" s="74">
        <f t="shared" si="35"/>
        <v>0.20560747663551404</v>
      </c>
      <c r="Y42" s="73">
        <f t="shared" si="36"/>
        <v>5.8255451713395638</v>
      </c>
      <c r="Z42" s="71">
        <f t="shared" si="30"/>
        <v>9.7218634947606919</v>
      </c>
      <c r="AA42" s="71">
        <f t="shared" si="31"/>
        <v>7.0136866473256614</v>
      </c>
      <c r="AB42" s="71">
        <v>0</v>
      </c>
      <c r="AC42" s="71">
        <f t="shared" si="37"/>
        <v>0.11314114088981084</v>
      </c>
      <c r="AD42" s="74">
        <f t="shared" si="16"/>
        <v>0.11314114088981084</v>
      </c>
      <c r="AE42" s="73">
        <f t="shared" si="29"/>
        <v>5.4090909090909092</v>
      </c>
      <c r="AF42" s="71">
        <f t="shared" si="17"/>
        <v>6.2512077583592713</v>
      </c>
      <c r="AG42" s="71">
        <f t="shared" si="38"/>
        <v>0.15631039375268457</v>
      </c>
      <c r="AH42" s="71">
        <f t="shared" si="39"/>
        <v>1.2117745779880897</v>
      </c>
      <c r="AI42" s="74">
        <f t="shared" si="19"/>
        <v>1.3680849717407744</v>
      </c>
      <c r="AJ42" s="73">
        <f t="shared" si="20"/>
        <v>1.4000000000000004</v>
      </c>
      <c r="AK42" s="71">
        <f t="shared" si="40"/>
        <v>3.1802833126473375</v>
      </c>
      <c r="AL42" s="71">
        <f t="shared" si="41"/>
        <v>4.0456807794812491E-2</v>
      </c>
      <c r="AM42" s="71">
        <f t="shared" si="48"/>
        <v>2.3804000000000003</v>
      </c>
      <c r="AN42" s="188">
        <f t="shared" si="42"/>
        <v>0.11666236193712831</v>
      </c>
      <c r="AO42" s="74">
        <f t="shared" si="24"/>
        <v>2.537519169731941</v>
      </c>
      <c r="AP42" s="73">
        <f t="shared" si="43"/>
        <v>7.3787700580311422E-2</v>
      </c>
      <c r="AQ42" s="206">
        <f t="shared" si="44"/>
        <v>0.11314114088981084</v>
      </c>
      <c r="AR42" s="206">
        <f t="shared" si="45"/>
        <v>3.0218089420955812</v>
      </c>
      <c r="AS42" s="71">
        <f t="shared" si="46"/>
        <v>0.16</v>
      </c>
      <c r="AT42" s="74">
        <f t="shared" si="47"/>
        <v>3.6299999999999995E-5</v>
      </c>
      <c r="AU42" s="73">
        <f t="shared" si="26"/>
        <v>7.3875193659282292</v>
      </c>
      <c r="AV42" s="71">
        <f t="shared" si="27"/>
        <v>74.900000000000006</v>
      </c>
      <c r="AW42" s="74">
        <f t="shared" si="28"/>
        <v>91.022308822950023</v>
      </c>
    </row>
    <row r="43" spans="17:49" x14ac:dyDescent="0.25">
      <c r="Q43">
        <v>36</v>
      </c>
      <c r="R43" s="73">
        <f t="shared" si="0"/>
        <v>53.5</v>
      </c>
      <c r="S43" s="71">
        <f t="shared" si="32"/>
        <v>1.44</v>
      </c>
      <c r="T43" s="71">
        <f t="shared" si="2"/>
        <v>11</v>
      </c>
      <c r="U43" s="74">
        <f t="shared" si="33"/>
        <v>7.003636363636363</v>
      </c>
      <c r="V43" s="73">
        <f>IF(Variable_Management!$B$20=3,2,IF((S43*R43/T43)&lt;((T43*(1-(T43/R43)))/(2*Lm*Fsw)),1,2))</f>
        <v>2</v>
      </c>
      <c r="W43" s="71">
        <f t="shared" si="34"/>
        <v>0.79439252336448596</v>
      </c>
      <c r="X43" s="74">
        <f t="shared" si="35"/>
        <v>0.20560747663551404</v>
      </c>
      <c r="Y43" s="73">
        <f t="shared" si="36"/>
        <v>5.8255451713395638</v>
      </c>
      <c r="Z43" s="71">
        <f t="shared" si="30"/>
        <v>9.9164089493061454</v>
      </c>
      <c r="AA43" s="71">
        <f t="shared" si="31"/>
        <v>7.2027080804832977</v>
      </c>
      <c r="AB43" s="71">
        <v>0</v>
      </c>
      <c r="AC43" s="71">
        <f t="shared" si="37"/>
        <v>0.11932170849311659</v>
      </c>
      <c r="AD43" s="74">
        <f t="shared" si="16"/>
        <v>0.11932170849311659</v>
      </c>
      <c r="AE43" s="73">
        <f t="shared" si="29"/>
        <v>5.5636363636363626</v>
      </c>
      <c r="AF43" s="71">
        <f t="shared" si="17"/>
        <v>6.419680105195833</v>
      </c>
      <c r="AG43" s="71">
        <f t="shared" si="38"/>
        <v>0.16484917061218871</v>
      </c>
      <c r="AH43" s="71">
        <f t="shared" si="39"/>
        <v>1.2463967087877492</v>
      </c>
      <c r="AI43" s="74">
        <f t="shared" si="19"/>
        <v>1.4112458793999378</v>
      </c>
      <c r="AJ43" s="73">
        <f t="shared" si="20"/>
        <v>1.44</v>
      </c>
      <c r="AK43" s="71">
        <f t="shared" si="40"/>
        <v>3.2659931168960252</v>
      </c>
      <c r="AL43" s="71">
        <f t="shared" si="41"/>
        <v>4.2666844158448854E-2</v>
      </c>
      <c r="AM43" s="71">
        <f t="shared" si="48"/>
        <v>2.3804000000000003</v>
      </c>
      <c r="AN43" s="188">
        <f t="shared" si="42"/>
        <v>0.11899690739167375</v>
      </c>
      <c r="AO43" s="74">
        <f t="shared" si="24"/>
        <v>2.5420637515501232</v>
      </c>
      <c r="AP43" s="73">
        <f t="shared" si="43"/>
        <v>7.7818505538989086E-2</v>
      </c>
      <c r="AQ43" s="206">
        <f t="shared" si="44"/>
        <v>0.11932170849311659</v>
      </c>
      <c r="AR43" s="206">
        <f t="shared" si="45"/>
        <v>3.0218089420955812</v>
      </c>
      <c r="AS43" s="71">
        <f t="shared" si="46"/>
        <v>0.16</v>
      </c>
      <c r="AT43" s="74">
        <f t="shared" si="47"/>
        <v>3.6299999999999995E-5</v>
      </c>
      <c r="AU43" s="73">
        <f t="shared" si="26"/>
        <v>7.4516167955708648</v>
      </c>
      <c r="AV43" s="71">
        <f t="shared" si="27"/>
        <v>77.039999999999992</v>
      </c>
      <c r="AW43" s="74">
        <f t="shared" si="28"/>
        <v>91.180643621011299</v>
      </c>
    </row>
    <row r="44" spans="17:49" x14ac:dyDescent="0.25">
      <c r="Q44">
        <v>37</v>
      </c>
      <c r="R44" s="73">
        <f t="shared" si="0"/>
        <v>53.5</v>
      </c>
      <c r="S44" s="71">
        <f t="shared" si="32"/>
        <v>1.48</v>
      </c>
      <c r="T44" s="71">
        <f t="shared" si="2"/>
        <v>11</v>
      </c>
      <c r="U44" s="74">
        <f t="shared" si="33"/>
        <v>7.1981818181818173</v>
      </c>
      <c r="V44" s="73">
        <f>IF(Variable_Management!$B$20=3,2,IF((S44*R44/T44)&lt;((T44*(1-(T44/R44)))/(2*Lm*Fsw)),1,2))</f>
        <v>2</v>
      </c>
      <c r="W44" s="71">
        <f t="shared" si="34"/>
        <v>0.79439252336448596</v>
      </c>
      <c r="X44" s="74">
        <f t="shared" si="35"/>
        <v>0.20560747663551404</v>
      </c>
      <c r="Y44" s="73">
        <f t="shared" si="36"/>
        <v>5.8255451713395638</v>
      </c>
      <c r="Z44" s="71">
        <f t="shared" si="30"/>
        <v>10.110954403851599</v>
      </c>
      <c r="AA44" s="71">
        <f t="shared" si="31"/>
        <v>7.3920161570584453</v>
      </c>
      <c r="AB44" s="71">
        <v>0</v>
      </c>
      <c r="AC44" s="71">
        <f t="shared" si="37"/>
        <v>0.12567637659229014</v>
      </c>
      <c r="AD44" s="74">
        <f t="shared" si="16"/>
        <v>0.12567637659229014</v>
      </c>
      <c r="AE44" s="73">
        <f t="shared" si="29"/>
        <v>5.7181818181818169</v>
      </c>
      <c r="AF44" s="71">
        <f t="shared" si="17"/>
        <v>6.5884079335851817</v>
      </c>
      <c r="AG44" s="71">
        <f t="shared" si="38"/>
        <v>0.17362847639731266</v>
      </c>
      <c r="AH44" s="71">
        <f t="shared" si="39"/>
        <v>1.2810188395874089</v>
      </c>
      <c r="AI44" s="74">
        <f t="shared" si="19"/>
        <v>1.4546473159847215</v>
      </c>
      <c r="AJ44" s="73">
        <f t="shared" si="20"/>
        <v>1.48</v>
      </c>
      <c r="AK44" s="71">
        <f t="shared" si="40"/>
        <v>3.3518328966231206</v>
      </c>
      <c r="AL44" s="71">
        <f t="shared" si="41"/>
        <v>4.493913506753975E-2</v>
      </c>
      <c r="AM44" s="71">
        <f t="shared" si="48"/>
        <v>2.3804000000000003</v>
      </c>
      <c r="AN44" s="188">
        <f t="shared" si="42"/>
        <v>0.12133145284621918</v>
      </c>
      <c r="AO44" s="74">
        <f t="shared" si="24"/>
        <v>2.5466705879137592</v>
      </c>
      <c r="AP44" s="73">
        <f t="shared" si="43"/>
        <v>8.1962854299319668E-2</v>
      </c>
      <c r="AQ44" s="206">
        <f t="shared" si="44"/>
        <v>0.12567637659229014</v>
      </c>
      <c r="AR44" s="206">
        <f t="shared" si="45"/>
        <v>3.0218089420955812</v>
      </c>
      <c r="AS44" s="71">
        <f t="shared" si="46"/>
        <v>0.16</v>
      </c>
      <c r="AT44" s="74">
        <f t="shared" si="47"/>
        <v>3.6299999999999995E-5</v>
      </c>
      <c r="AU44" s="73">
        <f t="shared" si="26"/>
        <v>7.5164787534779611</v>
      </c>
      <c r="AV44" s="71">
        <f t="shared" si="27"/>
        <v>79.179999999999993</v>
      </c>
      <c r="AW44" s="74">
        <f t="shared" si="28"/>
        <v>91.330122213093432</v>
      </c>
    </row>
    <row r="45" spans="17:49" x14ac:dyDescent="0.25">
      <c r="Q45">
        <v>38</v>
      </c>
      <c r="R45" s="73">
        <f t="shared" si="0"/>
        <v>53.5</v>
      </c>
      <c r="S45" s="71">
        <f t="shared" si="32"/>
        <v>1.52</v>
      </c>
      <c r="T45" s="71">
        <f t="shared" si="2"/>
        <v>11</v>
      </c>
      <c r="U45" s="74">
        <f t="shared" si="33"/>
        <v>7.3927272727272735</v>
      </c>
      <c r="V45" s="73">
        <f>IF(Variable_Management!$B$20=3,2,IF((S45*R45/T45)&lt;((T45*(1-(T45/R45)))/(2*Lm*Fsw)),1,2))</f>
        <v>2</v>
      </c>
      <c r="W45" s="71">
        <f t="shared" si="34"/>
        <v>0.79439252336448596</v>
      </c>
      <c r="X45" s="74">
        <f t="shared" si="35"/>
        <v>0.20560747663551404</v>
      </c>
      <c r="Y45" s="73">
        <f t="shared" si="36"/>
        <v>5.8255451713395638</v>
      </c>
      <c r="Z45" s="71">
        <f t="shared" si="30"/>
        <v>10.305499858397056</v>
      </c>
      <c r="AA45" s="71">
        <f t="shared" si="31"/>
        <v>7.5815894051007167</v>
      </c>
      <c r="AB45" s="71">
        <v>0</v>
      </c>
      <c r="AC45" s="71">
        <f t="shared" si="37"/>
        <v>0.13220514518733151</v>
      </c>
      <c r="AD45" s="74">
        <f t="shared" si="16"/>
        <v>0.13220514518733151</v>
      </c>
      <c r="AE45" s="73">
        <f t="shared" si="29"/>
        <v>5.872727272727273</v>
      </c>
      <c r="AF45" s="71">
        <f t="shared" si="17"/>
        <v>6.75737210585699</v>
      </c>
      <c r="AG45" s="71">
        <f t="shared" si="38"/>
        <v>0.18264831110805654</v>
      </c>
      <c r="AH45" s="71">
        <f t="shared" si="39"/>
        <v>1.3156409703870688</v>
      </c>
      <c r="AI45" s="74">
        <f t="shared" si="19"/>
        <v>1.4982892814951254</v>
      </c>
      <c r="AJ45" s="73">
        <f t="shared" si="20"/>
        <v>1.5200000000000002</v>
      </c>
      <c r="AK45" s="71">
        <f t="shared" si="40"/>
        <v>3.4377929155958924</v>
      </c>
      <c r="AL45" s="71">
        <f t="shared" si="41"/>
        <v>4.7273680522085228E-2</v>
      </c>
      <c r="AM45" s="71">
        <f t="shared" si="48"/>
        <v>2.3804000000000003</v>
      </c>
      <c r="AN45" s="188">
        <f t="shared" si="42"/>
        <v>0.12366599830076468</v>
      </c>
      <c r="AO45" s="74">
        <f t="shared" si="24"/>
        <v>2.55133967882285</v>
      </c>
      <c r="AP45" s="73">
        <f t="shared" si="43"/>
        <v>8.6220746861303155E-2</v>
      </c>
      <c r="AQ45" s="206">
        <f t="shared" si="44"/>
        <v>0.13220514518733151</v>
      </c>
      <c r="AR45" s="206">
        <f t="shared" si="45"/>
        <v>3.0218089420955812</v>
      </c>
      <c r="AS45" s="71">
        <f t="shared" si="46"/>
        <v>0.16</v>
      </c>
      <c r="AT45" s="74">
        <f t="shared" si="47"/>
        <v>3.6299999999999995E-5</v>
      </c>
      <c r="AU45" s="73">
        <f t="shared" si="26"/>
        <v>7.5821052396495219</v>
      </c>
      <c r="AV45" s="71">
        <f t="shared" si="27"/>
        <v>81.320000000000007</v>
      </c>
      <c r="AW45" s="74">
        <f t="shared" si="28"/>
        <v>91.471399671345495</v>
      </c>
    </row>
    <row r="46" spans="17:49" x14ac:dyDescent="0.25">
      <c r="Q46">
        <v>39</v>
      </c>
      <c r="R46" s="73">
        <f t="shared" si="0"/>
        <v>53.5</v>
      </c>
      <c r="S46" s="71">
        <f t="shared" si="32"/>
        <v>1.56</v>
      </c>
      <c r="T46" s="71">
        <f t="shared" si="2"/>
        <v>11</v>
      </c>
      <c r="U46" s="74">
        <f t="shared" si="33"/>
        <v>7.5872727272727278</v>
      </c>
      <c r="V46" s="73">
        <f>IF(Variable_Management!$B$20=3,2,IF((S46*R46/T46)&lt;((T46*(1-(T46/R46)))/(2*Lm*Fsw)),1,2))</f>
        <v>2</v>
      </c>
      <c r="W46" s="71">
        <f t="shared" si="34"/>
        <v>0.79439252336448596</v>
      </c>
      <c r="X46" s="74">
        <f t="shared" si="35"/>
        <v>0.20560747663551404</v>
      </c>
      <c r="Y46" s="73">
        <f t="shared" si="36"/>
        <v>5.8255451713395638</v>
      </c>
      <c r="Z46" s="71">
        <f t="shared" si="30"/>
        <v>10.500045312942509</v>
      </c>
      <c r="AA46" s="71">
        <f t="shared" si="31"/>
        <v>7.7714084191108075</v>
      </c>
      <c r="AB46" s="71">
        <v>0</v>
      </c>
      <c r="AC46" s="71">
        <f t="shared" si="37"/>
        <v>0.13890801427824057</v>
      </c>
      <c r="AD46" s="74">
        <f t="shared" si="16"/>
        <v>0.13890801427824057</v>
      </c>
      <c r="AE46" s="73">
        <f t="shared" si="29"/>
        <v>6.0272727272727273</v>
      </c>
      <c r="AF46" s="71">
        <f t="shared" si="17"/>
        <v>6.9265553261419219</v>
      </c>
      <c r="AG46" s="71">
        <f t="shared" si="38"/>
        <v>0.19190867474442011</v>
      </c>
      <c r="AH46" s="71">
        <f t="shared" si="39"/>
        <v>1.3502631011867285</v>
      </c>
      <c r="AI46" s="74">
        <f t="shared" si="19"/>
        <v>1.5421717759311486</v>
      </c>
      <c r="AJ46" s="73">
        <f t="shared" si="20"/>
        <v>1.5600000000000003</v>
      </c>
      <c r="AK46" s="71">
        <f t="shared" si="40"/>
        <v>3.5238643745923741</v>
      </c>
      <c r="AL46" s="71">
        <f t="shared" si="41"/>
        <v>4.9670480522085211E-2</v>
      </c>
      <c r="AM46" s="71">
        <f t="shared" si="48"/>
        <v>2.3804000000000003</v>
      </c>
      <c r="AN46" s="188">
        <f t="shared" si="42"/>
        <v>0.12600054375531011</v>
      </c>
      <c r="AO46" s="74">
        <f t="shared" si="24"/>
        <v>2.5560710242773954</v>
      </c>
      <c r="AP46" s="73">
        <f t="shared" si="43"/>
        <v>9.0592183224939504E-2</v>
      </c>
      <c r="AQ46" s="206">
        <f t="shared" si="44"/>
        <v>0.13890801427824057</v>
      </c>
      <c r="AR46" s="206">
        <f t="shared" si="45"/>
        <v>3.0218089420955812</v>
      </c>
      <c r="AS46" s="71">
        <f t="shared" si="46"/>
        <v>0.16</v>
      </c>
      <c r="AT46" s="74">
        <f t="shared" si="47"/>
        <v>3.6299999999999995E-5</v>
      </c>
      <c r="AU46" s="73">
        <f t="shared" si="26"/>
        <v>7.6484962540855461</v>
      </c>
      <c r="AV46" s="71">
        <f t="shared" si="27"/>
        <v>83.460000000000008</v>
      </c>
      <c r="AW46" s="74">
        <f t="shared" si="28"/>
        <v>91.605068057807443</v>
      </c>
    </row>
    <row r="47" spans="17:49" x14ac:dyDescent="0.25">
      <c r="Q47">
        <v>40</v>
      </c>
      <c r="R47" s="73">
        <f t="shared" si="0"/>
        <v>53.5</v>
      </c>
      <c r="S47" s="71">
        <f t="shared" si="32"/>
        <v>1.6</v>
      </c>
      <c r="T47" s="71">
        <f t="shared" si="2"/>
        <v>11</v>
      </c>
      <c r="U47" s="74">
        <f t="shared" si="33"/>
        <v>7.7818181818181822</v>
      </c>
      <c r="V47" s="73">
        <f>IF(Variable_Management!$B$20=3,2,IF((S47*R47/T47)&lt;((T47*(1-(T47/R47)))/(2*Lm*Fsw)),1,2))</f>
        <v>2</v>
      </c>
      <c r="W47" s="71">
        <f t="shared" si="34"/>
        <v>0.79439252336448596</v>
      </c>
      <c r="X47" s="74">
        <f t="shared" si="35"/>
        <v>0.20560747663551404</v>
      </c>
      <c r="Y47" s="73">
        <f t="shared" si="36"/>
        <v>5.8255451713395638</v>
      </c>
      <c r="Z47" s="71">
        <f t="shared" si="30"/>
        <v>10.694590767487965</v>
      </c>
      <c r="AA47" s="71">
        <f t="shared" si="31"/>
        <v>7.9614556202673041</v>
      </c>
      <c r="AB47" s="71">
        <v>0</v>
      </c>
      <c r="AC47" s="71">
        <f t="shared" si="37"/>
        <v>0.14578498386501743</v>
      </c>
      <c r="AD47" s="74">
        <f t="shared" si="16"/>
        <v>0.14578498386501743</v>
      </c>
      <c r="AE47" s="73">
        <f t="shared" si="29"/>
        <v>6.1818181818181817</v>
      </c>
      <c r="AF47" s="71">
        <f t="shared" si="17"/>
        <v>7.09594192666491</v>
      </c>
      <c r="AG47" s="71">
        <f t="shared" si="38"/>
        <v>0.20140956730640366</v>
      </c>
      <c r="AH47" s="71">
        <f t="shared" si="39"/>
        <v>1.3848852319863882</v>
      </c>
      <c r="AI47" s="74">
        <f t="shared" si="19"/>
        <v>1.5862947992927918</v>
      </c>
      <c r="AJ47" s="73">
        <f t="shared" si="20"/>
        <v>1.6000000000000003</v>
      </c>
      <c r="AK47" s="71">
        <f t="shared" si="40"/>
        <v>3.6100393026787043</v>
      </c>
      <c r="AL47" s="71">
        <f t="shared" si="41"/>
        <v>5.2129535067539784E-2</v>
      </c>
      <c r="AM47" s="71">
        <f t="shared" si="48"/>
        <v>2.3804000000000003</v>
      </c>
      <c r="AN47" s="188">
        <f t="shared" si="42"/>
        <v>0.12833508920985559</v>
      </c>
      <c r="AO47" s="74">
        <f t="shared" si="24"/>
        <v>2.5608646242773956</v>
      </c>
      <c r="AP47" s="73">
        <f t="shared" si="43"/>
        <v>9.5077163390228758E-2</v>
      </c>
      <c r="AQ47" s="206">
        <f t="shared" si="44"/>
        <v>0.14578498386501743</v>
      </c>
      <c r="AR47" s="206">
        <f t="shared" si="45"/>
        <v>3.0218089420955812</v>
      </c>
      <c r="AS47" s="71">
        <f t="shared" si="46"/>
        <v>0.16</v>
      </c>
      <c r="AT47" s="74">
        <f t="shared" si="47"/>
        <v>3.6299999999999995E-5</v>
      </c>
      <c r="AU47" s="73">
        <f t="shared" si="26"/>
        <v>7.715651796786033</v>
      </c>
      <c r="AV47" s="71">
        <f t="shared" si="27"/>
        <v>85.600000000000009</v>
      </c>
      <c r="AW47" s="74">
        <f t="shared" si="28"/>
        <v>91.731663822497381</v>
      </c>
    </row>
    <row r="48" spans="17:49" x14ac:dyDescent="0.25">
      <c r="Q48">
        <v>41</v>
      </c>
      <c r="R48" s="73">
        <f t="shared" si="0"/>
        <v>53.5</v>
      </c>
      <c r="S48" s="71">
        <f t="shared" si="32"/>
        <v>1.6400000000000001</v>
      </c>
      <c r="T48" s="71">
        <f t="shared" si="2"/>
        <v>11</v>
      </c>
      <c r="U48" s="74">
        <f t="shared" si="33"/>
        <v>7.9763636363636374</v>
      </c>
      <c r="V48" s="73">
        <f>IF(Variable_Management!$B$20=3,2,IF((S48*R48/T48)&lt;((T48*(1-(T48/R48)))/(2*Lm*Fsw)),1,2))</f>
        <v>2</v>
      </c>
      <c r="W48" s="71">
        <f t="shared" si="34"/>
        <v>0.79439252336448596</v>
      </c>
      <c r="X48" s="74">
        <f t="shared" si="35"/>
        <v>0.20560747663551404</v>
      </c>
      <c r="Y48" s="73">
        <f t="shared" si="36"/>
        <v>5.8255451713395638</v>
      </c>
      <c r="Z48" s="71">
        <f t="shared" si="30"/>
        <v>10.88913622203342</v>
      </c>
      <c r="AA48" s="71">
        <f t="shared" si="31"/>
        <v>8.1517150488786072</v>
      </c>
      <c r="AB48" s="71">
        <v>0</v>
      </c>
      <c r="AC48" s="71">
        <f t="shared" si="37"/>
        <v>0.15283605394766209</v>
      </c>
      <c r="AD48" s="74">
        <f t="shared" si="16"/>
        <v>0.15283605394766209</v>
      </c>
      <c r="AE48" s="73">
        <f t="shared" si="29"/>
        <v>6.3363636363636369</v>
      </c>
      <c r="AF48" s="71">
        <f t="shared" si="17"/>
        <v>7.2655176827602403</v>
      </c>
      <c r="AG48" s="71">
        <f t="shared" si="38"/>
        <v>0.21115098879400693</v>
      </c>
      <c r="AH48" s="71">
        <f t="shared" si="39"/>
        <v>1.4195073627860479</v>
      </c>
      <c r="AI48" s="74">
        <f t="shared" si="19"/>
        <v>1.6306583515800548</v>
      </c>
      <c r="AJ48" s="73">
        <f t="shared" si="20"/>
        <v>1.6400000000000003</v>
      </c>
      <c r="AK48" s="71">
        <f t="shared" si="40"/>
        <v>3.6963104630986039</v>
      </c>
      <c r="AL48" s="71">
        <f t="shared" si="41"/>
        <v>5.4650844158448862E-2</v>
      </c>
      <c r="AM48" s="71">
        <f t="shared" si="48"/>
        <v>2.3804000000000003</v>
      </c>
      <c r="AN48" s="188">
        <f t="shared" si="42"/>
        <v>0.13066963466440104</v>
      </c>
      <c r="AO48" s="74">
        <f t="shared" si="24"/>
        <v>2.5657204788228505</v>
      </c>
      <c r="AP48" s="73">
        <f t="shared" si="43"/>
        <v>9.9675687357170931E-2</v>
      </c>
      <c r="AQ48" s="206">
        <f t="shared" si="44"/>
        <v>0.15283605394766209</v>
      </c>
      <c r="AR48" s="206">
        <f t="shared" si="45"/>
        <v>3.0218089420955812</v>
      </c>
      <c r="AS48" s="71">
        <f t="shared" si="46"/>
        <v>0.16</v>
      </c>
      <c r="AT48" s="74">
        <f t="shared" si="47"/>
        <v>3.6299999999999995E-5</v>
      </c>
      <c r="AU48" s="73">
        <f t="shared" si="26"/>
        <v>7.7835718677509815</v>
      </c>
      <c r="AV48" s="71">
        <f t="shared" si="27"/>
        <v>87.740000000000009</v>
      </c>
      <c r="AW48" s="74">
        <f t="shared" si="28"/>
        <v>91.851674183072788</v>
      </c>
    </row>
    <row r="49" spans="17:49" x14ac:dyDescent="0.25">
      <c r="Q49">
        <v>42</v>
      </c>
      <c r="R49" s="73">
        <f t="shared" si="0"/>
        <v>53.5</v>
      </c>
      <c r="S49" s="71">
        <f t="shared" si="32"/>
        <v>1.68</v>
      </c>
      <c r="T49" s="71">
        <f t="shared" si="2"/>
        <v>11</v>
      </c>
      <c r="U49" s="74">
        <f t="shared" si="33"/>
        <v>8.17090909090909</v>
      </c>
      <c r="V49" s="73">
        <f>IF(Variable_Management!$B$20=3,2,IF((S49*R49/T49)&lt;((T49*(1-(T49/R49)))/(2*Lm*Fsw)),1,2))</f>
        <v>2</v>
      </c>
      <c r="W49" s="71">
        <f t="shared" si="34"/>
        <v>0.79439252336448596</v>
      </c>
      <c r="X49" s="74">
        <f t="shared" si="35"/>
        <v>0.20560747663551404</v>
      </c>
      <c r="Y49" s="73">
        <f t="shared" si="36"/>
        <v>5.8255451713395638</v>
      </c>
      <c r="Z49" s="71">
        <f t="shared" si="30"/>
        <v>11.083681676578871</v>
      </c>
      <c r="AA49" s="71">
        <f t="shared" si="31"/>
        <v>8.3421721841802459</v>
      </c>
      <c r="AB49" s="71">
        <v>0</v>
      </c>
      <c r="AC49" s="71">
        <f t="shared" si="37"/>
        <v>0.16006122452617441</v>
      </c>
      <c r="AD49" s="74">
        <f t="shared" si="16"/>
        <v>0.16006122452617441</v>
      </c>
      <c r="AE49" s="73">
        <f t="shared" si="29"/>
        <v>6.4909090909090903</v>
      </c>
      <c r="AF49" s="71">
        <f t="shared" si="17"/>
        <v>7.4352696522592563</v>
      </c>
      <c r="AG49" s="71">
        <f t="shared" si="38"/>
        <v>0.22113293920722993</v>
      </c>
      <c r="AH49" s="71">
        <f t="shared" si="39"/>
        <v>1.4541294935857074</v>
      </c>
      <c r="AI49" s="74">
        <f t="shared" si="19"/>
        <v>1.6752624327929373</v>
      </c>
      <c r="AJ49" s="73">
        <f t="shared" si="20"/>
        <v>1.68</v>
      </c>
      <c r="AK49" s="71">
        <f t="shared" si="40"/>
        <v>3.7826712715623483</v>
      </c>
      <c r="AL49" s="71">
        <f t="shared" si="41"/>
        <v>5.7234407794812446E-2</v>
      </c>
      <c r="AM49" s="71">
        <f t="shared" si="48"/>
        <v>2.3804000000000003</v>
      </c>
      <c r="AN49" s="188">
        <f t="shared" si="42"/>
        <v>0.13300418011894646</v>
      </c>
      <c r="AO49" s="74">
        <f t="shared" si="24"/>
        <v>2.5706385879137592</v>
      </c>
      <c r="AP49" s="73">
        <f t="shared" si="43"/>
        <v>0.10438775512576591</v>
      </c>
      <c r="AQ49" s="206">
        <f t="shared" si="44"/>
        <v>0.16006122452617441</v>
      </c>
      <c r="AR49" s="206">
        <f t="shared" si="45"/>
        <v>3.0218089420955812</v>
      </c>
      <c r="AS49" s="71">
        <f t="shared" si="46"/>
        <v>0.16</v>
      </c>
      <c r="AT49" s="74">
        <f t="shared" si="47"/>
        <v>3.6299999999999995E-5</v>
      </c>
      <c r="AU49" s="73">
        <f t="shared" si="26"/>
        <v>7.8522564669803918</v>
      </c>
      <c r="AV49" s="71">
        <f t="shared" si="27"/>
        <v>89.88</v>
      </c>
      <c r="AW49" s="74">
        <f t="shared" si="28"/>
        <v>91.965542645960156</v>
      </c>
    </row>
    <row r="50" spans="17:49" x14ac:dyDescent="0.25">
      <c r="Q50">
        <v>43</v>
      </c>
      <c r="R50" s="73">
        <f t="shared" si="0"/>
        <v>53.5</v>
      </c>
      <c r="S50" s="71">
        <f t="shared" si="32"/>
        <v>1.72</v>
      </c>
      <c r="T50" s="71">
        <f t="shared" si="2"/>
        <v>11</v>
      </c>
      <c r="U50" s="74">
        <f t="shared" si="33"/>
        <v>8.3654545454545453</v>
      </c>
      <c r="V50" s="73">
        <f>IF(Variable_Management!$B$20=3,2,IF((S50*R50/T50)&lt;((T50*(1-(T50/R50)))/(2*Lm*Fsw)),1,2))</f>
        <v>2</v>
      </c>
      <c r="W50" s="71">
        <f t="shared" si="34"/>
        <v>0.79439252336448596</v>
      </c>
      <c r="X50" s="74">
        <f t="shared" si="35"/>
        <v>0.20560747663551404</v>
      </c>
      <c r="Y50" s="73">
        <f t="shared" si="36"/>
        <v>5.8255451713395638</v>
      </c>
      <c r="Z50" s="71">
        <f t="shared" si="30"/>
        <v>11.278227131124327</v>
      </c>
      <c r="AA50" s="71">
        <f t="shared" si="31"/>
        <v>8.5328137874136178</v>
      </c>
      <c r="AB50" s="71">
        <v>0</v>
      </c>
      <c r="AC50" s="71">
        <f t="shared" si="37"/>
        <v>0.16746049560055462</v>
      </c>
      <c r="AD50" s="74">
        <f t="shared" si="16"/>
        <v>0.16746049560055462</v>
      </c>
      <c r="AE50" s="73">
        <f t="shared" si="29"/>
        <v>6.6454545454545455</v>
      </c>
      <c r="AF50" s="71">
        <f t="shared" si="17"/>
        <v>7.6051860356284671</v>
      </c>
      <c r="AG50" s="71">
        <f t="shared" si="38"/>
        <v>0.23135541854607297</v>
      </c>
      <c r="AH50" s="71">
        <f t="shared" si="39"/>
        <v>1.4887516243853671</v>
      </c>
      <c r="AI50" s="74">
        <f t="shared" si="19"/>
        <v>1.72010704293144</v>
      </c>
      <c r="AJ50" s="73">
        <f t="shared" si="20"/>
        <v>1.7200000000000002</v>
      </c>
      <c r="AK50" s="71">
        <f t="shared" si="40"/>
        <v>3.8691157250924482</v>
      </c>
      <c r="AL50" s="71">
        <f t="shared" si="41"/>
        <v>5.988022597663064E-2</v>
      </c>
      <c r="AM50" s="71">
        <f t="shared" si="48"/>
        <v>2.3804000000000003</v>
      </c>
      <c r="AN50" s="188">
        <f t="shared" si="42"/>
        <v>0.13533872557349191</v>
      </c>
      <c r="AO50" s="74">
        <f t="shared" si="24"/>
        <v>2.5756189515501227</v>
      </c>
      <c r="AP50" s="73">
        <f t="shared" si="43"/>
        <v>0.10921336669601389</v>
      </c>
      <c r="AQ50" s="206">
        <f t="shared" si="44"/>
        <v>0.16746049560055462</v>
      </c>
      <c r="AR50" s="206">
        <f t="shared" si="45"/>
        <v>3.0218089420955812</v>
      </c>
      <c r="AS50" s="71">
        <f t="shared" si="46"/>
        <v>0.16</v>
      </c>
      <c r="AT50" s="74">
        <f t="shared" si="47"/>
        <v>3.6299999999999995E-5</v>
      </c>
      <c r="AU50" s="73">
        <f t="shared" si="26"/>
        <v>7.9217055944742665</v>
      </c>
      <c r="AV50" s="71">
        <f t="shared" si="27"/>
        <v>92.02</v>
      </c>
      <c r="AW50" s="74">
        <f t="shared" si="28"/>
        <v>92.073673800787887</v>
      </c>
    </row>
    <row r="51" spans="17:49" x14ac:dyDescent="0.25">
      <c r="Q51">
        <v>44</v>
      </c>
      <c r="R51" s="73">
        <f t="shared" si="0"/>
        <v>53.5</v>
      </c>
      <c r="S51" s="71">
        <f t="shared" si="32"/>
        <v>1.76</v>
      </c>
      <c r="T51" s="71">
        <f t="shared" si="2"/>
        <v>11</v>
      </c>
      <c r="U51" s="74">
        <f t="shared" si="33"/>
        <v>8.56</v>
      </c>
      <c r="V51" s="73">
        <f>IF(Variable_Management!$B$20=3,2,IF((S51*R51/T51)&lt;((T51*(1-(T51/R51)))/(2*Lm*Fsw)),1,2))</f>
        <v>2</v>
      </c>
      <c r="W51" s="71">
        <f t="shared" si="34"/>
        <v>0.79439252336448596</v>
      </c>
      <c r="X51" s="74">
        <f t="shared" si="35"/>
        <v>0.20560747663551404</v>
      </c>
      <c r="Y51" s="73">
        <f t="shared" si="36"/>
        <v>5.8255451713395638</v>
      </c>
      <c r="Z51" s="71">
        <f t="shared" si="30"/>
        <v>11.472772585669782</v>
      </c>
      <c r="AA51" s="71">
        <f t="shared" si="31"/>
        <v>8.723627764789704</v>
      </c>
      <c r="AB51" s="71">
        <v>0</v>
      </c>
      <c r="AC51" s="71">
        <f t="shared" si="37"/>
        <v>0.17503386717080258</v>
      </c>
      <c r="AD51" s="74">
        <f t="shared" si="16"/>
        <v>0.17503386717080258</v>
      </c>
      <c r="AE51" s="73">
        <f t="shared" si="29"/>
        <v>6.8</v>
      </c>
      <c r="AF51" s="71">
        <f t="shared" si="17"/>
        <v>7.7752560538308941</v>
      </c>
      <c r="AG51" s="71">
        <f t="shared" si="38"/>
        <v>0.24181842681053586</v>
      </c>
      <c r="AH51" s="71">
        <f t="shared" si="39"/>
        <v>1.523373755185027</v>
      </c>
      <c r="AI51" s="74">
        <f t="shared" si="19"/>
        <v>1.7651921819955629</v>
      </c>
      <c r="AJ51" s="73">
        <f t="shared" si="20"/>
        <v>1.7600000000000002</v>
      </c>
      <c r="AK51" s="71">
        <f t="shared" si="40"/>
        <v>3.9556383398859727</v>
      </c>
      <c r="AL51" s="71">
        <f t="shared" si="41"/>
        <v>6.2588298703903422E-2</v>
      </c>
      <c r="AM51" s="71">
        <f t="shared" si="48"/>
        <v>2.3804000000000003</v>
      </c>
      <c r="AN51" s="188">
        <f t="shared" si="42"/>
        <v>0.13767327102803739</v>
      </c>
      <c r="AO51" s="74">
        <f t="shared" si="24"/>
        <v>2.5806615697319408</v>
      </c>
      <c r="AP51" s="73">
        <f t="shared" si="43"/>
        <v>0.11415252206791472</v>
      </c>
      <c r="AQ51" s="206">
        <f t="shared" si="44"/>
        <v>0.17503386717080258</v>
      </c>
      <c r="AR51" s="206">
        <f t="shared" si="45"/>
        <v>3.0218089420955812</v>
      </c>
      <c r="AS51" s="71">
        <f t="shared" si="46"/>
        <v>0.16</v>
      </c>
      <c r="AT51" s="74">
        <f t="shared" si="47"/>
        <v>3.6299999999999995E-5</v>
      </c>
      <c r="AU51" s="73">
        <f t="shared" si="26"/>
        <v>7.9919192502326046</v>
      </c>
      <c r="AV51" s="71">
        <f t="shared" si="27"/>
        <v>94.16</v>
      </c>
      <c r="AW51" s="74">
        <f t="shared" si="28"/>
        <v>92.176437497316627</v>
      </c>
    </row>
    <row r="52" spans="17:49" x14ac:dyDescent="0.25">
      <c r="Q52">
        <v>45</v>
      </c>
      <c r="R52" s="73">
        <f t="shared" si="0"/>
        <v>53.5</v>
      </c>
      <c r="S52" s="71">
        <f t="shared" si="32"/>
        <v>1.8</v>
      </c>
      <c r="T52" s="71">
        <f t="shared" si="2"/>
        <v>11</v>
      </c>
      <c r="U52" s="74">
        <f t="shared" si="33"/>
        <v>8.754545454545454</v>
      </c>
      <c r="V52" s="73">
        <f>IF(Variable_Management!$B$20=3,2,IF((S52*R52/T52)&lt;((T52*(1-(T52/R52)))/(2*Lm*Fsw)),1,2))</f>
        <v>2</v>
      </c>
      <c r="W52" s="71">
        <f t="shared" si="34"/>
        <v>0.79439252336448596</v>
      </c>
      <c r="X52" s="74">
        <f t="shared" si="35"/>
        <v>0.20560747663551404</v>
      </c>
      <c r="Y52" s="73">
        <f t="shared" si="36"/>
        <v>5.8255451713395638</v>
      </c>
      <c r="Z52" s="71">
        <f t="shared" si="30"/>
        <v>11.667318040215235</v>
      </c>
      <c r="AA52" s="71">
        <f t="shared" si="31"/>
        <v>8.9146030474896794</v>
      </c>
      <c r="AB52" s="71">
        <v>0</v>
      </c>
      <c r="AC52" s="71">
        <f t="shared" si="37"/>
        <v>0.18278133923691822</v>
      </c>
      <c r="AD52" s="74">
        <f t="shared" si="16"/>
        <v>0.18278133923691822</v>
      </c>
      <c r="AE52" s="73">
        <f t="shared" si="29"/>
        <v>6.9545454545454541</v>
      </c>
      <c r="AF52" s="71">
        <f t="shared" si="17"/>
        <v>7.9454698413721649</v>
      </c>
      <c r="AG52" s="71">
        <f t="shared" si="38"/>
        <v>0.25252196400061844</v>
      </c>
      <c r="AH52" s="71">
        <f t="shared" si="39"/>
        <v>1.5579958859846863</v>
      </c>
      <c r="AI52" s="74">
        <f t="shared" si="19"/>
        <v>1.8105178499853047</v>
      </c>
      <c r="AJ52" s="73">
        <f t="shared" si="20"/>
        <v>1.8</v>
      </c>
      <c r="AK52" s="71">
        <f t="shared" si="40"/>
        <v>4.0422340969020674</v>
      </c>
      <c r="AL52" s="71">
        <f t="shared" si="41"/>
        <v>6.5358625976630697E-2</v>
      </c>
      <c r="AM52" s="71">
        <f t="shared" si="48"/>
        <v>2.3804000000000003</v>
      </c>
      <c r="AN52" s="188">
        <f t="shared" si="42"/>
        <v>0.14000781648258284</v>
      </c>
      <c r="AO52" s="74">
        <f t="shared" si="24"/>
        <v>2.5857664424592137</v>
      </c>
      <c r="AP52" s="73">
        <f t="shared" si="43"/>
        <v>0.11920522124146841</v>
      </c>
      <c r="AQ52" s="206">
        <f t="shared" si="44"/>
        <v>0.18278133923691822</v>
      </c>
      <c r="AR52" s="206">
        <f t="shared" si="45"/>
        <v>3.0218089420955812</v>
      </c>
      <c r="AS52" s="71">
        <f t="shared" si="46"/>
        <v>0.16</v>
      </c>
      <c r="AT52" s="74">
        <f t="shared" si="47"/>
        <v>3.6299999999999995E-5</v>
      </c>
      <c r="AU52" s="73">
        <f t="shared" si="26"/>
        <v>8.0628974342554045</v>
      </c>
      <c r="AV52" s="71">
        <f t="shared" si="27"/>
        <v>96.3</v>
      </c>
      <c r="AW52" s="74">
        <f t="shared" si="28"/>
        <v>92.274172495704505</v>
      </c>
    </row>
    <row r="53" spans="17:49" x14ac:dyDescent="0.25">
      <c r="Q53">
        <v>46</v>
      </c>
      <c r="R53" s="73">
        <f t="shared" si="0"/>
        <v>53.5</v>
      </c>
      <c r="S53" s="71">
        <f t="shared" si="32"/>
        <v>1.84</v>
      </c>
      <c r="T53" s="71">
        <f t="shared" si="2"/>
        <v>11</v>
      </c>
      <c r="U53" s="74">
        <f t="shared" si="33"/>
        <v>8.9490909090909092</v>
      </c>
      <c r="V53" s="73">
        <f>IF(Variable_Management!$B$20=3,2,IF((S53*R53/T53)&lt;((T53*(1-(T53/R53)))/(2*Lm*Fsw)),1,2))</f>
        <v>2</v>
      </c>
      <c r="W53" s="71">
        <f t="shared" si="34"/>
        <v>0.79439252336448596</v>
      </c>
      <c r="X53" s="74">
        <f t="shared" si="35"/>
        <v>0.20560747663551404</v>
      </c>
      <c r="Y53" s="73">
        <f t="shared" si="36"/>
        <v>5.8255451713395638</v>
      </c>
      <c r="Z53" s="71">
        <f t="shared" si="30"/>
        <v>11.861863494760691</v>
      </c>
      <c r="AA53" s="71">
        <f t="shared" si="31"/>
        <v>9.1057294863060463</v>
      </c>
      <c r="AB53" s="71">
        <v>0</v>
      </c>
      <c r="AC53" s="71">
        <f t="shared" si="37"/>
        <v>0.19070291179890175</v>
      </c>
      <c r="AD53" s="74">
        <f t="shared" si="16"/>
        <v>0.19070291179890175</v>
      </c>
      <c r="AE53" s="73">
        <f t="shared" si="29"/>
        <v>7.1090909090909093</v>
      </c>
      <c r="AF53" s="71">
        <f t="shared" si="17"/>
        <v>8.1158183523955376</v>
      </c>
      <c r="AG53" s="71">
        <f t="shared" si="38"/>
        <v>0.26346603011632092</v>
      </c>
      <c r="AH53" s="71">
        <f t="shared" si="39"/>
        <v>1.5926180167843464</v>
      </c>
      <c r="AI53" s="74">
        <f t="shared" si="19"/>
        <v>1.8560840469006674</v>
      </c>
      <c r="AJ53" s="73">
        <f t="shared" si="20"/>
        <v>1.8400000000000003</v>
      </c>
      <c r="AK53" s="71">
        <f t="shared" si="40"/>
        <v>4.128898394088079</v>
      </c>
      <c r="AL53" s="71">
        <f t="shared" si="41"/>
        <v>6.819120779481247E-2</v>
      </c>
      <c r="AM53" s="71">
        <f t="shared" si="48"/>
        <v>2.3804000000000003</v>
      </c>
      <c r="AN53" s="188">
        <f t="shared" si="42"/>
        <v>0.14234236193712829</v>
      </c>
      <c r="AO53" s="74">
        <f t="shared" si="24"/>
        <v>2.5909335697319413</v>
      </c>
      <c r="AP53" s="73">
        <f t="shared" si="43"/>
        <v>0.12437146421667507</v>
      </c>
      <c r="AQ53" s="206">
        <f t="shared" si="44"/>
        <v>0.19070291179890175</v>
      </c>
      <c r="AR53" s="206">
        <f t="shared" si="45"/>
        <v>3.0218089420955812</v>
      </c>
      <c r="AS53" s="71">
        <f t="shared" si="46"/>
        <v>0.16</v>
      </c>
      <c r="AT53" s="74">
        <f t="shared" si="47"/>
        <v>3.6299999999999995E-5</v>
      </c>
      <c r="AU53" s="73">
        <f t="shared" si="26"/>
        <v>8.1346401465426688</v>
      </c>
      <c r="AV53" s="71">
        <f t="shared" si="27"/>
        <v>98.44</v>
      </c>
      <c r="AW53" s="74">
        <f t="shared" si="28"/>
        <v>92.367189665986828</v>
      </c>
    </row>
    <row r="54" spans="17:49" x14ac:dyDescent="0.25">
      <c r="Q54">
        <v>47</v>
      </c>
      <c r="R54" s="73">
        <f t="shared" si="0"/>
        <v>53.5</v>
      </c>
      <c r="S54" s="71">
        <f t="shared" si="32"/>
        <v>1.8800000000000001</v>
      </c>
      <c r="T54" s="71">
        <f t="shared" si="2"/>
        <v>11</v>
      </c>
      <c r="U54" s="74">
        <f t="shared" si="33"/>
        <v>9.1436363636363645</v>
      </c>
      <c r="V54" s="73">
        <f>IF(Variable_Management!$B$20=3,2,IF((S54*R54/T54)&lt;((T54*(1-(T54/R54)))/(2*Lm*Fsw)),1,2))</f>
        <v>2</v>
      </c>
      <c r="W54" s="71">
        <f t="shared" si="34"/>
        <v>0.79439252336448596</v>
      </c>
      <c r="X54" s="74">
        <f t="shared" si="35"/>
        <v>0.20560747663551404</v>
      </c>
      <c r="Y54" s="73">
        <f t="shared" si="36"/>
        <v>5.8255451713395638</v>
      </c>
      <c r="Z54" s="71">
        <f t="shared" si="30"/>
        <v>12.056408949306146</v>
      </c>
      <c r="AA54" s="71">
        <f t="shared" si="31"/>
        <v>9.2969977589016892</v>
      </c>
      <c r="AB54" s="71">
        <v>0</v>
      </c>
      <c r="AC54" s="71">
        <f t="shared" si="37"/>
        <v>0.19879858485675295</v>
      </c>
      <c r="AD54" s="74">
        <f t="shared" si="16"/>
        <v>0.19879858485675295</v>
      </c>
      <c r="AE54" s="73">
        <f t="shared" si="29"/>
        <v>7.2636363636363637</v>
      </c>
      <c r="AF54" s="71">
        <f t="shared" si="17"/>
        <v>8.286293278023102</v>
      </c>
      <c r="AG54" s="71">
        <f t="shared" si="38"/>
        <v>0.27465062515764338</v>
      </c>
      <c r="AH54" s="71">
        <f t="shared" si="39"/>
        <v>1.6272401475840061</v>
      </c>
      <c r="AI54" s="74">
        <f t="shared" si="19"/>
        <v>1.9018907727416496</v>
      </c>
      <c r="AJ54" s="73">
        <f t="shared" si="20"/>
        <v>1.8800000000000003</v>
      </c>
      <c r="AK54" s="71">
        <f t="shared" si="40"/>
        <v>4.21562700432714</v>
      </c>
      <c r="AL54" s="71">
        <f t="shared" si="41"/>
        <v>7.1086044158448866E-2</v>
      </c>
      <c r="AM54" s="71">
        <f t="shared" si="48"/>
        <v>2.3804000000000003</v>
      </c>
      <c r="AN54" s="188">
        <f t="shared" si="42"/>
        <v>0.14467690739167374</v>
      </c>
      <c r="AO54" s="74">
        <f t="shared" si="24"/>
        <v>2.5961629515501228</v>
      </c>
      <c r="AP54" s="73">
        <f t="shared" si="43"/>
        <v>0.12965125099353453</v>
      </c>
      <c r="AQ54" s="206">
        <f t="shared" si="44"/>
        <v>0.19879858485675295</v>
      </c>
      <c r="AR54" s="206">
        <f t="shared" si="45"/>
        <v>3.0218089420955812</v>
      </c>
      <c r="AS54" s="71">
        <f t="shared" si="46"/>
        <v>0.16</v>
      </c>
      <c r="AT54" s="74">
        <f t="shared" si="47"/>
        <v>3.6299999999999995E-5</v>
      </c>
      <c r="AU54" s="73">
        <f t="shared" si="26"/>
        <v>8.2071473870943947</v>
      </c>
      <c r="AV54" s="71">
        <f t="shared" si="27"/>
        <v>100.58000000000001</v>
      </c>
      <c r="AW54" s="74">
        <f t="shared" si="28"/>
        <v>92.455774800408065</v>
      </c>
    </row>
    <row r="55" spans="17:49" x14ac:dyDescent="0.25">
      <c r="Q55">
        <v>48</v>
      </c>
      <c r="R55" s="73">
        <f t="shared" si="0"/>
        <v>53.5</v>
      </c>
      <c r="S55" s="71">
        <f t="shared" si="32"/>
        <v>1.92</v>
      </c>
      <c r="T55" s="71">
        <f t="shared" si="2"/>
        <v>11</v>
      </c>
      <c r="U55" s="74">
        <f t="shared" si="33"/>
        <v>9.3381818181818179</v>
      </c>
      <c r="V55" s="73">
        <f>IF(Variable_Management!$B$20=3,2,IF((S55*R55/T55)&lt;((T55*(1-(T55/R55)))/(2*Lm*Fsw)),1,2))</f>
        <v>2</v>
      </c>
      <c r="W55" s="71">
        <f t="shared" si="34"/>
        <v>0.79439252336448596</v>
      </c>
      <c r="X55" s="74">
        <f t="shared" si="35"/>
        <v>0.20560747663551404</v>
      </c>
      <c r="Y55" s="73">
        <f t="shared" si="36"/>
        <v>5.8255451713395638</v>
      </c>
      <c r="Z55" s="71">
        <f t="shared" si="30"/>
        <v>12.250954403851599</v>
      </c>
      <c r="AA55" s="71">
        <f t="shared" si="31"/>
        <v>9.4883992879743051</v>
      </c>
      <c r="AB55" s="71">
        <v>0</v>
      </c>
      <c r="AC55" s="71">
        <f t="shared" si="37"/>
        <v>0.207068358410472</v>
      </c>
      <c r="AD55" s="74">
        <f t="shared" si="16"/>
        <v>0.207068358410472</v>
      </c>
      <c r="AE55" s="73">
        <f t="shared" si="29"/>
        <v>7.418181818181818</v>
      </c>
      <c r="AF55" s="71">
        <f t="shared" si="17"/>
        <v>8.4568869734167755</v>
      </c>
      <c r="AG55" s="71">
        <f t="shared" si="38"/>
        <v>0.28607574912458539</v>
      </c>
      <c r="AH55" s="71">
        <f t="shared" si="39"/>
        <v>1.6618622783836656</v>
      </c>
      <c r="AI55" s="74">
        <f t="shared" si="19"/>
        <v>1.947938027508251</v>
      </c>
      <c r="AJ55" s="73">
        <f t="shared" si="20"/>
        <v>1.9200000000000002</v>
      </c>
      <c r="AK55" s="71">
        <f t="shared" si="40"/>
        <v>4.3024160383306658</v>
      </c>
      <c r="AL55" s="71">
        <f t="shared" si="41"/>
        <v>7.4043135067539761E-2</v>
      </c>
      <c r="AM55" s="71">
        <f t="shared" si="48"/>
        <v>2.3804000000000003</v>
      </c>
      <c r="AN55" s="188">
        <f t="shared" si="42"/>
        <v>0.14701145284621919</v>
      </c>
      <c r="AO55" s="74">
        <f t="shared" si="24"/>
        <v>2.6014545879137594</v>
      </c>
      <c r="AP55" s="73">
        <f t="shared" si="43"/>
        <v>0.13504458157204696</v>
      </c>
      <c r="AQ55" s="206">
        <f t="shared" si="44"/>
        <v>0.207068358410472</v>
      </c>
      <c r="AR55" s="206">
        <f t="shared" si="45"/>
        <v>3.0218089420955812</v>
      </c>
      <c r="AS55" s="71">
        <f t="shared" si="46"/>
        <v>0.16</v>
      </c>
      <c r="AT55" s="74">
        <f t="shared" si="47"/>
        <v>3.6299999999999995E-5</v>
      </c>
      <c r="AU55" s="73">
        <f t="shared" si="26"/>
        <v>8.2804191559105824</v>
      </c>
      <c r="AV55" s="71">
        <f t="shared" si="27"/>
        <v>102.72</v>
      </c>
      <c r="AW55" s="74">
        <f t="shared" si="28"/>
        <v>92.540191092179612</v>
      </c>
    </row>
    <row r="56" spans="17:49" x14ac:dyDescent="0.25">
      <c r="Q56">
        <v>49</v>
      </c>
      <c r="R56" s="73">
        <f t="shared" si="0"/>
        <v>53.5</v>
      </c>
      <c r="S56" s="71">
        <f t="shared" si="32"/>
        <v>1.96</v>
      </c>
      <c r="T56" s="71">
        <f t="shared" si="2"/>
        <v>11</v>
      </c>
      <c r="U56" s="74">
        <f t="shared" si="33"/>
        <v>9.5327272727272732</v>
      </c>
      <c r="V56" s="73">
        <f>IF(Variable_Management!$B$20=3,2,IF((S56*R56/T56)&lt;((T56*(1-(T56/R56)))/(2*Lm*Fsw)),1,2))</f>
        <v>2</v>
      </c>
      <c r="W56" s="71">
        <f t="shared" si="34"/>
        <v>0.79439252336448596</v>
      </c>
      <c r="X56" s="74">
        <f t="shared" si="35"/>
        <v>0.20560747663551404</v>
      </c>
      <c r="Y56" s="73">
        <f t="shared" si="36"/>
        <v>5.8255451713395638</v>
      </c>
      <c r="Z56" s="71">
        <f t="shared" si="30"/>
        <v>12.445499858397055</v>
      </c>
      <c r="AA56" s="71">
        <f t="shared" si="31"/>
        <v>9.6799261688717522</v>
      </c>
      <c r="AB56" s="71">
        <v>0</v>
      </c>
      <c r="AC56" s="71">
        <f t="shared" si="37"/>
        <v>0.21551223246005877</v>
      </c>
      <c r="AD56" s="74">
        <f t="shared" si="16"/>
        <v>0.21551223246005877</v>
      </c>
      <c r="AE56" s="73">
        <f t="shared" si="29"/>
        <v>7.5727272727272732</v>
      </c>
      <c r="AF56" s="71">
        <f t="shared" si="17"/>
        <v>8.6275923932628427</v>
      </c>
      <c r="AG56" s="71">
        <f t="shared" si="38"/>
        <v>0.29774140201714744</v>
      </c>
      <c r="AH56" s="71">
        <f t="shared" si="39"/>
        <v>1.6964844091833253</v>
      </c>
      <c r="AI56" s="74">
        <f t="shared" si="19"/>
        <v>1.9942258112004727</v>
      </c>
      <c r="AJ56" s="73">
        <f t="shared" si="20"/>
        <v>1.9600000000000004</v>
      </c>
      <c r="AK56" s="71">
        <f t="shared" si="40"/>
        <v>4.3892619118163028</v>
      </c>
      <c r="AL56" s="71">
        <f t="shared" si="41"/>
        <v>7.7062480522085225E-2</v>
      </c>
      <c r="AM56" s="71">
        <f t="shared" si="48"/>
        <v>2.3804000000000003</v>
      </c>
      <c r="AN56" s="188">
        <f t="shared" si="42"/>
        <v>0.14934599830076467</v>
      </c>
      <c r="AO56" s="74">
        <f t="shared" si="24"/>
        <v>2.6068084788228503</v>
      </c>
      <c r="AP56" s="73">
        <f t="shared" si="43"/>
        <v>0.14055145595221225</v>
      </c>
      <c r="AQ56" s="206">
        <f t="shared" si="44"/>
        <v>0.21551223246005877</v>
      </c>
      <c r="AR56" s="206">
        <f t="shared" si="45"/>
        <v>3.0218089420955812</v>
      </c>
      <c r="AS56" s="71">
        <f t="shared" si="46"/>
        <v>0.16</v>
      </c>
      <c r="AT56" s="74">
        <f t="shared" si="47"/>
        <v>3.6299999999999995E-5</v>
      </c>
      <c r="AU56" s="73">
        <f t="shared" si="26"/>
        <v>8.3544554529912336</v>
      </c>
      <c r="AV56" s="71">
        <f t="shared" si="27"/>
        <v>104.86</v>
      </c>
      <c r="AW56" s="74">
        <f t="shared" si="28"/>
        <v>92.620681325928246</v>
      </c>
    </row>
    <row r="57" spans="17:49" x14ac:dyDescent="0.25">
      <c r="Q57">
        <v>50</v>
      </c>
      <c r="R57" s="73">
        <f t="shared" si="0"/>
        <v>53.5</v>
      </c>
      <c r="S57" s="71">
        <f t="shared" si="32"/>
        <v>2</v>
      </c>
      <c r="T57" s="71">
        <f t="shared" si="2"/>
        <v>11</v>
      </c>
      <c r="U57" s="74">
        <f t="shared" si="33"/>
        <v>9.7272727272727266</v>
      </c>
      <c r="V57" s="73">
        <f>IF(Variable_Management!$B$20=3,2,IF((S57*R57/T57)&lt;((T57*(1-(T57/R57)))/(2*Lm*Fsw)),1,2))</f>
        <v>2</v>
      </c>
      <c r="W57" s="71">
        <f t="shared" si="34"/>
        <v>0.79439252336448596</v>
      </c>
      <c r="X57" s="74">
        <f t="shared" si="35"/>
        <v>0.20560747663551404</v>
      </c>
      <c r="Y57" s="73">
        <f t="shared" si="36"/>
        <v>5.8255451713395638</v>
      </c>
      <c r="Z57" s="71">
        <f t="shared" si="30"/>
        <v>12.640045312942508</v>
      </c>
      <c r="AA57" s="71">
        <f t="shared" si="31"/>
        <v>9.8715711054195214</v>
      </c>
      <c r="AB57" s="71">
        <v>0</v>
      </c>
      <c r="AC57" s="71">
        <f t="shared" si="37"/>
        <v>0.22413020700551328</v>
      </c>
      <c r="AD57" s="74">
        <f t="shared" si="16"/>
        <v>0.22413020700551328</v>
      </c>
      <c r="AE57" s="73">
        <f t="shared" si="29"/>
        <v>7.7272727272727266</v>
      </c>
      <c r="AF57" s="71">
        <f t="shared" si="17"/>
        <v>8.7984030345757791</v>
      </c>
      <c r="AG57" s="71">
        <f t="shared" si="38"/>
        <v>0.30964758383532909</v>
      </c>
      <c r="AH57" s="71">
        <f t="shared" si="39"/>
        <v>1.731106539982985</v>
      </c>
      <c r="AI57" s="74">
        <f t="shared" si="19"/>
        <v>2.040754123818314</v>
      </c>
      <c r="AJ57" s="73">
        <f t="shared" si="20"/>
        <v>2</v>
      </c>
      <c r="AK57" s="71">
        <f t="shared" si="40"/>
        <v>4.4761613164095531</v>
      </c>
      <c r="AL57" s="71">
        <f t="shared" si="41"/>
        <v>8.0144080522085215E-2</v>
      </c>
      <c r="AM57" s="71">
        <f t="shared" si="48"/>
        <v>2.3804000000000003</v>
      </c>
      <c r="AN57" s="188">
        <f t="shared" si="42"/>
        <v>0.15168054375531009</v>
      </c>
      <c r="AO57" s="74">
        <f t="shared" si="24"/>
        <v>2.6122246242773954</v>
      </c>
      <c r="AP57" s="73">
        <f t="shared" si="43"/>
        <v>0.14617187413403041</v>
      </c>
      <c r="AQ57" s="206">
        <f t="shared" si="44"/>
        <v>0.22413020700551328</v>
      </c>
      <c r="AR57" s="206">
        <f t="shared" si="45"/>
        <v>3.0218089420955812</v>
      </c>
      <c r="AS57" s="71">
        <f t="shared" si="46"/>
        <v>0.16</v>
      </c>
      <c r="AT57" s="74">
        <f t="shared" si="47"/>
        <v>3.6299999999999995E-5</v>
      </c>
      <c r="AU57" s="73">
        <f t="shared" si="26"/>
        <v>8.4292562783363465</v>
      </c>
      <c r="AV57" s="71">
        <f t="shared" si="27"/>
        <v>107</v>
      </c>
      <c r="AW57" s="74">
        <f t="shared" si="28"/>
        <v>92.697469818214245</v>
      </c>
    </row>
    <row r="58" spans="17:49" x14ac:dyDescent="0.25">
      <c r="Q58">
        <v>51</v>
      </c>
      <c r="R58" s="73">
        <f t="shared" si="0"/>
        <v>53.5</v>
      </c>
      <c r="S58" s="71">
        <f t="shared" si="32"/>
        <v>2.04</v>
      </c>
      <c r="T58" s="71">
        <f t="shared" si="2"/>
        <v>11</v>
      </c>
      <c r="U58" s="74">
        <f t="shared" si="33"/>
        <v>9.9218181818181819</v>
      </c>
      <c r="V58" s="73">
        <f>IF(Variable_Management!$B$20=3,2,IF((S58*R58/T58)&lt;((T58*(1-(T58/R58)))/(2*Lm*Fsw)),1,2))</f>
        <v>2</v>
      </c>
      <c r="W58" s="71">
        <f t="shared" si="34"/>
        <v>0.79439252336448596</v>
      </c>
      <c r="X58" s="74">
        <f t="shared" si="35"/>
        <v>0.20560747663551404</v>
      </c>
      <c r="Y58" s="73">
        <f t="shared" si="36"/>
        <v>5.8255451713395638</v>
      </c>
      <c r="Z58" s="71">
        <f t="shared" si="30"/>
        <v>12.834590767487963</v>
      </c>
      <c r="AA58" s="71">
        <f t="shared" si="31"/>
        <v>10.063327352902103</v>
      </c>
      <c r="AB58" s="71">
        <v>0</v>
      </c>
      <c r="AC58" s="71">
        <f t="shared" si="37"/>
        <v>0.2329222820468356</v>
      </c>
      <c r="AD58" s="74">
        <f t="shared" si="16"/>
        <v>0.2329222820468356</v>
      </c>
      <c r="AE58" s="73">
        <f t="shared" si="29"/>
        <v>7.8818181818181818</v>
      </c>
      <c r="AF58" s="71">
        <f t="shared" si="17"/>
        <v>8.9693128858783098</v>
      </c>
      <c r="AG58" s="71">
        <f t="shared" si="38"/>
        <v>0.32179429457913078</v>
      </c>
      <c r="AH58" s="71">
        <f t="shared" si="39"/>
        <v>1.7657286707826452</v>
      </c>
      <c r="AI58" s="74">
        <f t="shared" si="19"/>
        <v>2.0875229653617762</v>
      </c>
      <c r="AJ58" s="73">
        <f t="shared" si="20"/>
        <v>2.04</v>
      </c>
      <c r="AK58" s="71">
        <f t="shared" si="40"/>
        <v>4.5631111937892701</v>
      </c>
      <c r="AL58" s="71">
        <f t="shared" si="41"/>
        <v>8.3287935067539745E-2</v>
      </c>
      <c r="AM58" s="71">
        <f t="shared" si="48"/>
        <v>2.3804000000000003</v>
      </c>
      <c r="AN58" s="188">
        <f t="shared" si="42"/>
        <v>0.15401508920985557</v>
      </c>
      <c r="AO58" s="74">
        <f t="shared" si="24"/>
        <v>2.6177030242773958</v>
      </c>
      <c r="AP58" s="73">
        <f t="shared" si="43"/>
        <v>0.15190583611750147</v>
      </c>
      <c r="AQ58" s="206">
        <f t="shared" si="44"/>
        <v>0.2329222820468356</v>
      </c>
      <c r="AR58" s="206">
        <f t="shared" si="45"/>
        <v>3.0218089420955812</v>
      </c>
      <c r="AS58" s="71">
        <f t="shared" si="46"/>
        <v>0.16</v>
      </c>
      <c r="AT58" s="74">
        <f t="shared" si="47"/>
        <v>3.6299999999999995E-5</v>
      </c>
      <c r="AU58" s="73">
        <f t="shared" si="26"/>
        <v>8.5048216319459264</v>
      </c>
      <c r="AV58" s="71">
        <f t="shared" si="27"/>
        <v>109.14</v>
      </c>
      <c r="AW58" s="74">
        <f t="shared" si="28"/>
        <v>92.770764140768193</v>
      </c>
    </row>
    <row r="59" spans="17:49" x14ac:dyDescent="0.25">
      <c r="Q59">
        <v>52</v>
      </c>
      <c r="R59" s="73">
        <f t="shared" si="0"/>
        <v>53.5</v>
      </c>
      <c r="S59" s="71">
        <f t="shared" si="32"/>
        <v>2.08</v>
      </c>
      <c r="T59" s="71">
        <f t="shared" si="2"/>
        <v>11</v>
      </c>
      <c r="U59" s="74">
        <f t="shared" si="33"/>
        <v>10.116363636363637</v>
      </c>
      <c r="V59" s="73">
        <f>IF(Variable_Management!$B$20=3,2,IF((S59*R59/T59)&lt;((T59*(1-(T59/R59)))/(2*Lm*Fsw)),1,2))</f>
        <v>2</v>
      </c>
      <c r="W59" s="71">
        <f t="shared" si="34"/>
        <v>0.79439252336448596</v>
      </c>
      <c r="X59" s="74">
        <f t="shared" si="35"/>
        <v>0.20560747663551404</v>
      </c>
      <c r="Y59" s="73">
        <f t="shared" si="36"/>
        <v>5.8255451713395638</v>
      </c>
      <c r="Z59" s="71">
        <f t="shared" si="30"/>
        <v>13.029136222033419</v>
      </c>
      <c r="AA59" s="71">
        <f t="shared" si="31"/>
        <v>10.255188667291808</v>
      </c>
      <c r="AB59" s="71">
        <v>0</v>
      </c>
      <c r="AC59" s="71">
        <f t="shared" si="37"/>
        <v>0.24188845758402575</v>
      </c>
      <c r="AD59" s="74">
        <f t="shared" si="16"/>
        <v>0.24188845758402575</v>
      </c>
      <c r="AE59" s="73">
        <f t="shared" si="29"/>
        <v>8.036363636363637</v>
      </c>
      <c r="AF59" s="71">
        <f t="shared" si="17"/>
        <v>9.1403163819497024</v>
      </c>
      <c r="AG59" s="71">
        <f t="shared" si="38"/>
        <v>0.3341815342485524</v>
      </c>
      <c r="AH59" s="71">
        <f t="shared" si="39"/>
        <v>1.8003508015823046</v>
      </c>
      <c r="AI59" s="74">
        <f t="shared" si="19"/>
        <v>2.134532335830857</v>
      </c>
      <c r="AJ59" s="73">
        <f t="shared" si="20"/>
        <v>2.0800000000000005</v>
      </c>
      <c r="AK59" s="71">
        <f t="shared" si="40"/>
        <v>4.6501087126659968</v>
      </c>
      <c r="AL59" s="71">
        <f t="shared" si="41"/>
        <v>8.6494044158448857E-2</v>
      </c>
      <c r="AM59" s="71">
        <f t="shared" si="48"/>
        <v>2.3804000000000003</v>
      </c>
      <c r="AN59" s="188">
        <f t="shared" si="42"/>
        <v>0.15634963466440102</v>
      </c>
      <c r="AO59" s="74">
        <f t="shared" si="24"/>
        <v>2.6232436788228504</v>
      </c>
      <c r="AP59" s="73">
        <f t="shared" si="43"/>
        <v>0.15775334190262549</v>
      </c>
      <c r="AQ59" s="206">
        <f t="shared" si="44"/>
        <v>0.24188845758402575</v>
      </c>
      <c r="AR59" s="206">
        <f t="shared" si="45"/>
        <v>3.0218089420955812</v>
      </c>
      <c r="AS59" s="71">
        <f t="shared" si="46"/>
        <v>0.16</v>
      </c>
      <c r="AT59" s="74">
        <f t="shared" si="47"/>
        <v>3.6299999999999995E-5</v>
      </c>
      <c r="AU59" s="73">
        <f t="shared" si="26"/>
        <v>8.5811515138199645</v>
      </c>
      <c r="AV59" s="71">
        <f t="shared" si="27"/>
        <v>111.28</v>
      </c>
      <c r="AW59" s="74">
        <f t="shared" si="28"/>
        <v>92.84075665431051</v>
      </c>
    </row>
    <row r="60" spans="17:49" x14ac:dyDescent="0.25">
      <c r="Q60">
        <v>53</v>
      </c>
      <c r="R60" s="73">
        <f t="shared" si="0"/>
        <v>53.5</v>
      </c>
      <c r="S60" s="71">
        <f t="shared" si="32"/>
        <v>2.12</v>
      </c>
      <c r="T60" s="71">
        <f t="shared" si="2"/>
        <v>11</v>
      </c>
      <c r="U60" s="74">
        <f t="shared" si="33"/>
        <v>10.310909090909091</v>
      </c>
      <c r="V60" s="73">
        <f>IF(Variable_Management!$B$20=3,2,IF((S60*R60/T60)&lt;((T60*(1-(T60/R60)))/(2*Lm*Fsw)),1,2))</f>
        <v>2</v>
      </c>
      <c r="W60" s="71">
        <f t="shared" si="34"/>
        <v>0.79439252336448596</v>
      </c>
      <c r="X60" s="74">
        <f t="shared" si="35"/>
        <v>0.20560747663551404</v>
      </c>
      <c r="Y60" s="73">
        <f t="shared" si="36"/>
        <v>5.8255451713395638</v>
      </c>
      <c r="Z60" s="71">
        <f t="shared" si="30"/>
        <v>13.223681676578872</v>
      </c>
      <c r="AA60" s="71">
        <f t="shared" si="31"/>
        <v>10.44714925994654</v>
      </c>
      <c r="AB60" s="71">
        <v>0</v>
      </c>
      <c r="AC60" s="71">
        <f t="shared" si="37"/>
        <v>0.25102873361708355</v>
      </c>
      <c r="AD60" s="74">
        <f t="shared" si="16"/>
        <v>0.25102873361708355</v>
      </c>
      <c r="AE60" s="73">
        <f t="shared" si="29"/>
        <v>8.1909090909090896</v>
      </c>
      <c r="AF60" s="71">
        <f t="shared" si="17"/>
        <v>9.3114083634484857</v>
      </c>
      <c r="AG60" s="71">
        <f t="shared" si="38"/>
        <v>0.34680930284359363</v>
      </c>
      <c r="AH60" s="71">
        <f t="shared" si="39"/>
        <v>1.8349729323819644</v>
      </c>
      <c r="AI60" s="74">
        <f t="shared" si="19"/>
        <v>2.1817822352255578</v>
      </c>
      <c r="AJ60" s="73">
        <f t="shared" si="20"/>
        <v>2.12</v>
      </c>
      <c r="AK60" s="71">
        <f t="shared" si="40"/>
        <v>4.7371512482401403</v>
      </c>
      <c r="AL60" s="71">
        <f t="shared" si="41"/>
        <v>8.9762407794812482E-2</v>
      </c>
      <c r="AM60" s="71">
        <f t="shared" si="48"/>
        <v>2.3804000000000003</v>
      </c>
      <c r="AN60" s="188">
        <f t="shared" si="42"/>
        <v>0.15868418011894647</v>
      </c>
      <c r="AO60" s="74">
        <f t="shared" si="24"/>
        <v>2.6288465879137592</v>
      </c>
      <c r="AP60" s="73">
        <f t="shared" si="43"/>
        <v>0.16371439148940231</v>
      </c>
      <c r="AQ60" s="206">
        <f t="shared" si="44"/>
        <v>0.25102873361708355</v>
      </c>
      <c r="AR60" s="206">
        <f t="shared" si="45"/>
        <v>3.0218089420955812</v>
      </c>
      <c r="AS60" s="71">
        <f t="shared" si="46"/>
        <v>0.16</v>
      </c>
      <c r="AT60" s="74">
        <f t="shared" si="47"/>
        <v>3.6299999999999995E-5</v>
      </c>
      <c r="AU60" s="73">
        <f t="shared" si="26"/>
        <v>8.6582459239584679</v>
      </c>
      <c r="AV60" s="71">
        <f t="shared" si="27"/>
        <v>113.42</v>
      </c>
      <c r="AW60" s="74">
        <f t="shared" si="28"/>
        <v>92.907625876807231</v>
      </c>
    </row>
    <row r="61" spans="17:49" x14ac:dyDescent="0.25">
      <c r="Q61">
        <v>54</v>
      </c>
      <c r="R61" s="73">
        <f t="shared" si="0"/>
        <v>53.5</v>
      </c>
      <c r="S61" s="71">
        <f t="shared" si="32"/>
        <v>2.16</v>
      </c>
      <c r="T61" s="71">
        <f t="shared" si="2"/>
        <v>11</v>
      </c>
      <c r="U61" s="74">
        <f t="shared" si="33"/>
        <v>10.505454545454546</v>
      </c>
      <c r="V61" s="73">
        <f>IF(Variable_Management!$B$20=3,2,IF((S61*R61/T61)&lt;((T61*(1-(T61/R61)))/(2*Lm*Fsw)),1,2))</f>
        <v>2</v>
      </c>
      <c r="W61" s="71">
        <f t="shared" si="34"/>
        <v>0.79439252336448596</v>
      </c>
      <c r="X61" s="74">
        <f t="shared" si="35"/>
        <v>0.20560747663551404</v>
      </c>
      <c r="Y61" s="73">
        <f t="shared" si="36"/>
        <v>5.8255451713395638</v>
      </c>
      <c r="Z61" s="71">
        <f t="shared" si="30"/>
        <v>13.418227131124327</v>
      </c>
      <c r="AA61" s="71">
        <f t="shared" si="31"/>
        <v>10.63920375710614</v>
      </c>
      <c r="AB61" s="71">
        <v>0</v>
      </c>
      <c r="AC61" s="71">
        <f t="shared" si="37"/>
        <v>0.26034311014600919</v>
      </c>
      <c r="AD61" s="74">
        <f t="shared" si="16"/>
        <v>0.26034311014600919</v>
      </c>
      <c r="AE61" s="73">
        <f t="shared" si="29"/>
        <v>8.3454545454545457</v>
      </c>
      <c r="AF61" s="71">
        <f t="shared" si="17"/>
        <v>9.4825840408120676</v>
      </c>
      <c r="AG61" s="71">
        <f t="shared" si="38"/>
        <v>0.35967760036425489</v>
      </c>
      <c r="AH61" s="71">
        <f t="shared" si="39"/>
        <v>1.8695950631816241</v>
      </c>
      <c r="AI61" s="74">
        <f t="shared" si="19"/>
        <v>2.2292726635458791</v>
      </c>
      <c r="AJ61" s="73">
        <f t="shared" si="20"/>
        <v>2.16</v>
      </c>
      <c r="AK61" s="71">
        <f t="shared" si="40"/>
        <v>4.8242363638360075</v>
      </c>
      <c r="AL61" s="71">
        <f t="shared" si="41"/>
        <v>9.3093025976630661E-2</v>
      </c>
      <c r="AM61" s="71">
        <f t="shared" si="48"/>
        <v>2.3804000000000003</v>
      </c>
      <c r="AN61" s="188">
        <f t="shared" si="42"/>
        <v>0.16101872557349192</v>
      </c>
      <c r="AO61" s="74">
        <f t="shared" si="24"/>
        <v>2.6345117515501228</v>
      </c>
      <c r="AP61" s="73">
        <f t="shared" si="43"/>
        <v>0.16978898487783212</v>
      </c>
      <c r="AQ61" s="206">
        <f t="shared" si="44"/>
        <v>0.26034311014600919</v>
      </c>
      <c r="AR61" s="206">
        <f t="shared" si="45"/>
        <v>3.0218089420955812</v>
      </c>
      <c r="AS61" s="71">
        <f t="shared" si="46"/>
        <v>0.16</v>
      </c>
      <c r="AT61" s="74">
        <f t="shared" si="47"/>
        <v>3.6299999999999995E-5</v>
      </c>
      <c r="AU61" s="73">
        <f t="shared" si="26"/>
        <v>8.736104862361433</v>
      </c>
      <c r="AV61" s="71">
        <f t="shared" si="27"/>
        <v>115.56</v>
      </c>
      <c r="AW61" s="74">
        <f t="shared" si="28"/>
        <v>92.9715377066439</v>
      </c>
    </row>
    <row r="62" spans="17:49" x14ac:dyDescent="0.25">
      <c r="Q62">
        <v>55</v>
      </c>
      <c r="R62" s="73">
        <f t="shared" si="0"/>
        <v>53.5</v>
      </c>
      <c r="S62" s="71">
        <f t="shared" si="32"/>
        <v>2.2000000000000002</v>
      </c>
      <c r="T62" s="71">
        <f t="shared" si="2"/>
        <v>11</v>
      </c>
      <c r="U62" s="74">
        <f t="shared" si="33"/>
        <v>10.700000000000001</v>
      </c>
      <c r="V62" s="73">
        <f>IF(Variable_Management!$B$20=3,2,IF((S62*R62/T62)&lt;((T62*(1-(T62/R62)))/(2*Lm*Fsw)),1,2))</f>
        <v>2</v>
      </c>
      <c r="W62" s="71">
        <f t="shared" si="34"/>
        <v>0.79439252336448596</v>
      </c>
      <c r="X62" s="74">
        <f t="shared" si="35"/>
        <v>0.20560747663551404</v>
      </c>
      <c r="Y62" s="73">
        <f t="shared" si="36"/>
        <v>5.8255451713395638</v>
      </c>
      <c r="Z62" s="71">
        <f t="shared" si="30"/>
        <v>13.612772585669783</v>
      </c>
      <c r="AA62" s="71">
        <f t="shared" si="31"/>
        <v>10.831347163608497</v>
      </c>
      <c r="AB62" s="71">
        <v>0</v>
      </c>
      <c r="AC62" s="71">
        <f t="shared" si="37"/>
        <v>0.26983158717080258</v>
      </c>
      <c r="AD62" s="74">
        <f t="shared" si="16"/>
        <v>0.26983158717080258</v>
      </c>
      <c r="AE62" s="73">
        <f t="shared" si="29"/>
        <v>8.5</v>
      </c>
      <c r="AF62" s="71">
        <f t="shared" si="17"/>
        <v>9.6538389619173763</v>
      </c>
      <c r="AG62" s="71">
        <f t="shared" si="38"/>
        <v>0.37278642681053592</v>
      </c>
      <c r="AH62" s="71">
        <f t="shared" si="39"/>
        <v>1.9042171939812835</v>
      </c>
      <c r="AI62" s="74">
        <f t="shared" si="19"/>
        <v>2.2770036207918194</v>
      </c>
      <c r="AJ62" s="73">
        <f t="shared" si="20"/>
        <v>2.2000000000000006</v>
      </c>
      <c r="AK62" s="71">
        <f t="shared" si="40"/>
        <v>4.9113617944492596</v>
      </c>
      <c r="AL62" s="71">
        <f t="shared" si="41"/>
        <v>9.6485898703903408E-2</v>
      </c>
      <c r="AM62" s="71">
        <f t="shared" si="48"/>
        <v>2.3804000000000003</v>
      </c>
      <c r="AN62" s="188">
        <f t="shared" si="42"/>
        <v>0.1633532710280374</v>
      </c>
      <c r="AO62" s="74">
        <f t="shared" si="24"/>
        <v>2.6402391697319407</v>
      </c>
      <c r="AP62" s="73">
        <f t="shared" si="43"/>
        <v>0.17597712206791474</v>
      </c>
      <c r="AQ62" s="206">
        <f t="shared" si="44"/>
        <v>0.26983158717080258</v>
      </c>
      <c r="AR62" s="206">
        <f t="shared" si="45"/>
        <v>3.0218089420955812</v>
      </c>
      <c r="AS62" s="71">
        <f t="shared" si="46"/>
        <v>0.16</v>
      </c>
      <c r="AT62" s="74">
        <f t="shared" si="47"/>
        <v>3.6299999999999995E-5</v>
      </c>
      <c r="AU62" s="73">
        <f t="shared" si="26"/>
        <v>8.8147283290288598</v>
      </c>
      <c r="AV62" s="71">
        <f t="shared" si="27"/>
        <v>117.7</v>
      </c>
      <c r="AW62" s="74">
        <f t="shared" si="28"/>
        <v>93.03264651835299</v>
      </c>
    </row>
    <row r="63" spans="17:49" x14ac:dyDescent="0.25">
      <c r="Q63">
        <v>56</v>
      </c>
      <c r="R63" s="73">
        <f t="shared" si="0"/>
        <v>53.5</v>
      </c>
      <c r="S63" s="71">
        <f t="shared" si="32"/>
        <v>2.2400000000000002</v>
      </c>
      <c r="T63" s="71">
        <f t="shared" si="2"/>
        <v>11</v>
      </c>
      <c r="U63" s="74">
        <f t="shared" si="33"/>
        <v>10.894545454545456</v>
      </c>
      <c r="V63" s="73">
        <f>IF(Variable_Management!$B$20=3,2,IF((S63*R63/T63)&lt;((T63*(1-(T63/R63)))/(2*Lm*Fsw)),1,2))</f>
        <v>2</v>
      </c>
      <c r="W63" s="71">
        <f t="shared" si="34"/>
        <v>0.79439252336448596</v>
      </c>
      <c r="X63" s="74">
        <f t="shared" si="35"/>
        <v>0.20560747663551404</v>
      </c>
      <c r="Y63" s="73">
        <f t="shared" si="36"/>
        <v>5.8255451713395638</v>
      </c>
      <c r="Z63" s="71">
        <f t="shared" si="30"/>
        <v>13.807318040215238</v>
      </c>
      <c r="AA63" s="71">
        <f t="shared" si="31"/>
        <v>11.023574830324637</v>
      </c>
      <c r="AB63" s="71">
        <v>0</v>
      </c>
      <c r="AC63" s="71">
        <f t="shared" si="37"/>
        <v>0.27949416469146376</v>
      </c>
      <c r="AD63" s="74">
        <f t="shared" si="16"/>
        <v>0.27949416469146376</v>
      </c>
      <c r="AE63" s="73">
        <f t="shared" si="29"/>
        <v>8.6545454545454561</v>
      </c>
      <c r="AF63" s="71">
        <f t="shared" si="17"/>
        <v>9.8251689830561784</v>
      </c>
      <c r="AG63" s="71">
        <f t="shared" si="38"/>
        <v>0.38613578218243672</v>
      </c>
      <c r="AH63" s="71">
        <f t="shared" si="39"/>
        <v>1.9388393247809439</v>
      </c>
      <c r="AI63" s="74">
        <f t="shared" si="19"/>
        <v>2.3249751069633806</v>
      </c>
      <c r="AJ63" s="73">
        <f t="shared" si="20"/>
        <v>2.2400000000000007</v>
      </c>
      <c r="AK63" s="71">
        <f t="shared" si="40"/>
        <v>4.9985254319806831</v>
      </c>
      <c r="AL63" s="71">
        <f t="shared" si="41"/>
        <v>9.9941025976630696E-2</v>
      </c>
      <c r="AM63" s="71">
        <f t="shared" si="48"/>
        <v>2.3804000000000003</v>
      </c>
      <c r="AN63" s="188">
        <f t="shared" si="42"/>
        <v>0.16568781648258285</v>
      </c>
      <c r="AO63" s="74">
        <f t="shared" si="24"/>
        <v>2.6460288424592142</v>
      </c>
      <c r="AP63" s="73">
        <f t="shared" si="43"/>
        <v>0.18227880305965027</v>
      </c>
      <c r="AQ63" s="206">
        <f t="shared" si="44"/>
        <v>0.27949416469146376</v>
      </c>
      <c r="AR63" s="206">
        <f t="shared" si="45"/>
        <v>3.0218089420955812</v>
      </c>
      <c r="AS63" s="71">
        <f t="shared" si="46"/>
        <v>0.16</v>
      </c>
      <c r="AT63" s="74">
        <f t="shared" si="47"/>
        <v>3.6299999999999995E-5</v>
      </c>
      <c r="AU63" s="73">
        <f t="shared" si="26"/>
        <v>8.8941163239607537</v>
      </c>
      <c r="AV63" s="71">
        <f t="shared" si="27"/>
        <v>119.84000000000002</v>
      </c>
      <c r="AW63" s="74">
        <f t="shared" si="28"/>
        <v>93.091096146122908</v>
      </c>
    </row>
    <row r="64" spans="17:49" x14ac:dyDescent="0.25">
      <c r="Q64">
        <v>57</v>
      </c>
      <c r="R64" s="73">
        <f t="shared" si="0"/>
        <v>53.5</v>
      </c>
      <c r="S64" s="71">
        <f t="shared" si="32"/>
        <v>2.2800000000000002</v>
      </c>
      <c r="T64" s="71">
        <f t="shared" si="2"/>
        <v>11</v>
      </c>
      <c r="U64" s="74">
        <f t="shared" si="33"/>
        <v>11.089090909090912</v>
      </c>
      <c r="V64" s="73">
        <f>IF(Variable_Management!$B$20=3,2,IF((S64*R64/T64)&lt;((T64*(1-(T64/R64)))/(2*Lm*Fsw)),1,2))</f>
        <v>2</v>
      </c>
      <c r="W64" s="71">
        <f t="shared" si="34"/>
        <v>0.79439252336448596</v>
      </c>
      <c r="X64" s="74">
        <f t="shared" si="35"/>
        <v>0.20560747663551404</v>
      </c>
      <c r="Y64" s="73">
        <f t="shared" si="36"/>
        <v>5.8255451713395638</v>
      </c>
      <c r="Z64" s="71">
        <f t="shared" si="30"/>
        <v>14.001863494760693</v>
      </c>
      <c r="AA64" s="71">
        <f t="shared" si="31"/>
        <v>11.215882424878236</v>
      </c>
      <c r="AB64" s="71">
        <v>0</v>
      </c>
      <c r="AC64" s="71">
        <f t="shared" si="37"/>
        <v>0.28933084270799275</v>
      </c>
      <c r="AD64" s="74">
        <f t="shared" si="16"/>
        <v>0.28933084270799275</v>
      </c>
      <c r="AE64" s="73">
        <f t="shared" si="29"/>
        <v>8.8090909090909104</v>
      </c>
      <c r="AF64" s="71">
        <f t="shared" si="17"/>
        <v>9.996570242837759</v>
      </c>
      <c r="AG64" s="71">
        <f t="shared" si="38"/>
        <v>0.3997256664799575</v>
      </c>
      <c r="AH64" s="71">
        <f t="shared" si="39"/>
        <v>1.9734614555806034</v>
      </c>
      <c r="AI64" s="74">
        <f t="shared" si="19"/>
        <v>2.3731871220605609</v>
      </c>
      <c r="AJ64" s="73">
        <f t="shared" si="20"/>
        <v>2.2800000000000007</v>
      </c>
      <c r="AK64" s="71">
        <f t="shared" si="40"/>
        <v>5.085725311959262</v>
      </c>
      <c r="AL64" s="71">
        <f t="shared" si="41"/>
        <v>0.10345840779481254</v>
      </c>
      <c r="AM64" s="71">
        <f t="shared" si="48"/>
        <v>2.3804000000000003</v>
      </c>
      <c r="AN64" s="188">
        <f t="shared" si="42"/>
        <v>0.16802236193712833</v>
      </c>
      <c r="AO64" s="74">
        <f t="shared" si="24"/>
        <v>2.6518807697319411</v>
      </c>
      <c r="AP64" s="73">
        <f t="shared" si="43"/>
        <v>0.18869402785303876</v>
      </c>
      <c r="AQ64" s="206">
        <f t="shared" si="44"/>
        <v>0.28933084270799275</v>
      </c>
      <c r="AR64" s="206">
        <f t="shared" si="45"/>
        <v>3.0218089420955812</v>
      </c>
      <c r="AS64" s="71">
        <f t="shared" si="46"/>
        <v>0.16</v>
      </c>
      <c r="AT64" s="74">
        <f t="shared" si="47"/>
        <v>3.6299999999999995E-5</v>
      </c>
      <c r="AU64" s="73">
        <f t="shared" si="26"/>
        <v>8.9742688471571075</v>
      </c>
      <c r="AV64" s="71">
        <f t="shared" si="27"/>
        <v>121.98000000000002</v>
      </c>
      <c r="AW64" s="74">
        <f t="shared" si="28"/>
        <v>93.147020768271858</v>
      </c>
    </row>
    <row r="65" spans="17:49" x14ac:dyDescent="0.25">
      <c r="Q65">
        <v>58</v>
      </c>
      <c r="R65" s="73">
        <f t="shared" si="0"/>
        <v>53.5</v>
      </c>
      <c r="S65" s="71">
        <f t="shared" si="32"/>
        <v>2.3199999999999998</v>
      </c>
      <c r="T65" s="71">
        <f t="shared" si="2"/>
        <v>11</v>
      </c>
      <c r="U65" s="74">
        <f t="shared" si="33"/>
        <v>11.283636363636363</v>
      </c>
      <c r="V65" s="73">
        <f>IF(Variable_Management!$B$20=3,2,IF((S65*R65/T65)&lt;((T65*(1-(T65/R65)))/(2*Lm*Fsw)),1,2))</f>
        <v>2</v>
      </c>
      <c r="W65" s="71">
        <f t="shared" si="34"/>
        <v>0.79439252336448596</v>
      </c>
      <c r="X65" s="74">
        <f t="shared" si="35"/>
        <v>0.20560747663551404</v>
      </c>
      <c r="Y65" s="73">
        <f t="shared" si="36"/>
        <v>5.8255451713395638</v>
      </c>
      <c r="Z65" s="71">
        <f t="shared" si="30"/>
        <v>14.196408949306145</v>
      </c>
      <c r="AA65" s="71">
        <f t="shared" si="31"/>
        <v>11.408265905271785</v>
      </c>
      <c r="AB65" s="71">
        <v>0</v>
      </c>
      <c r="AC65" s="71">
        <f t="shared" si="37"/>
        <v>0.29934162122038926</v>
      </c>
      <c r="AD65" s="74">
        <f t="shared" si="16"/>
        <v>0.29934162122038926</v>
      </c>
      <c r="AE65" s="73">
        <f t="shared" si="29"/>
        <v>8.963636363636363</v>
      </c>
      <c r="AF65" s="71">
        <f t="shared" si="17"/>
        <v>10.168039138682268</v>
      </c>
      <c r="AG65" s="71">
        <f t="shared" si="38"/>
        <v>0.41355607970309777</v>
      </c>
      <c r="AH65" s="71">
        <f t="shared" si="39"/>
        <v>2.0080835863802626</v>
      </c>
      <c r="AI65" s="74">
        <f t="shared" si="19"/>
        <v>2.4216396660833603</v>
      </c>
      <c r="AJ65" s="73">
        <f t="shared" si="20"/>
        <v>2.3200000000000003</v>
      </c>
      <c r="AK65" s="71">
        <f t="shared" si="40"/>
        <v>5.172959601583238</v>
      </c>
      <c r="AL65" s="71">
        <f t="shared" si="41"/>
        <v>0.10703804415844886</v>
      </c>
      <c r="AM65" s="71">
        <f t="shared" si="48"/>
        <v>2.3804000000000003</v>
      </c>
      <c r="AN65" s="188">
        <f t="shared" si="42"/>
        <v>0.17035690739167375</v>
      </c>
      <c r="AO65" s="74">
        <f t="shared" si="24"/>
        <v>2.6577949515501231</v>
      </c>
      <c r="AP65" s="73">
        <f t="shared" si="43"/>
        <v>0.19522279644807997</v>
      </c>
      <c r="AQ65" s="206">
        <f t="shared" si="44"/>
        <v>0.29934162122038926</v>
      </c>
      <c r="AR65" s="206">
        <f t="shared" si="45"/>
        <v>3.0218089420955812</v>
      </c>
      <c r="AS65" s="71">
        <f t="shared" si="46"/>
        <v>0.16</v>
      </c>
      <c r="AT65" s="74">
        <f t="shared" si="47"/>
        <v>3.6299999999999995E-5</v>
      </c>
      <c r="AU65" s="73">
        <f t="shared" si="26"/>
        <v>9.0551858986179212</v>
      </c>
      <c r="AV65" s="71">
        <f t="shared" si="27"/>
        <v>124.11999999999999</v>
      </c>
      <c r="AW65" s="74">
        <f t="shared" si="28"/>
        <v>93.200545704128885</v>
      </c>
    </row>
    <row r="66" spans="17:49" x14ac:dyDescent="0.25">
      <c r="Q66">
        <v>59</v>
      </c>
      <c r="R66" s="73">
        <f t="shared" si="0"/>
        <v>53.5</v>
      </c>
      <c r="S66" s="71">
        <f t="shared" si="32"/>
        <v>2.36</v>
      </c>
      <c r="T66" s="71">
        <f t="shared" si="2"/>
        <v>11</v>
      </c>
      <c r="U66" s="74">
        <f t="shared" si="33"/>
        <v>11.478181818181817</v>
      </c>
      <c r="V66" s="73">
        <f>IF(Variable_Management!$B$20=3,2,IF((S66*R66/T66)&lt;((T66*(1-(T66/R66)))/(2*Lm*Fsw)),1,2))</f>
        <v>2</v>
      </c>
      <c r="W66" s="71">
        <f t="shared" si="34"/>
        <v>0.79439252336448596</v>
      </c>
      <c r="X66" s="74">
        <f t="shared" si="35"/>
        <v>0.20560747663551404</v>
      </c>
      <c r="Y66" s="73">
        <f t="shared" si="36"/>
        <v>5.8255451713395638</v>
      </c>
      <c r="Z66" s="71">
        <f t="shared" si="30"/>
        <v>14.390954403851598</v>
      </c>
      <c r="AA66" s="71">
        <f t="shared" si="31"/>
        <v>11.600721496090209</v>
      </c>
      <c r="AB66" s="71">
        <v>0</v>
      </c>
      <c r="AC66" s="71">
        <f t="shared" si="37"/>
        <v>0.30952650022865374</v>
      </c>
      <c r="AD66" s="74">
        <f t="shared" si="16"/>
        <v>0.30952650022865374</v>
      </c>
      <c r="AE66" s="73">
        <f t="shared" si="29"/>
        <v>9.1181818181818173</v>
      </c>
      <c r="AF66" s="71">
        <f t="shared" si="17"/>
        <v>10.339572305611314</v>
      </c>
      <c r="AG66" s="71">
        <f t="shared" si="38"/>
        <v>0.42762702185185786</v>
      </c>
      <c r="AH66" s="71">
        <f t="shared" si="39"/>
        <v>2.0427057171799223</v>
      </c>
      <c r="AI66" s="74">
        <f t="shared" si="19"/>
        <v>2.4703327390317802</v>
      </c>
      <c r="AJ66" s="73">
        <f t="shared" si="20"/>
        <v>2.36</v>
      </c>
      <c r="AK66" s="71">
        <f t="shared" si="40"/>
        <v>5.2602265889298847</v>
      </c>
      <c r="AL66" s="71">
        <f t="shared" si="41"/>
        <v>0.11067993506753972</v>
      </c>
      <c r="AM66" s="71">
        <f t="shared" si="48"/>
        <v>2.3804000000000003</v>
      </c>
      <c r="AN66" s="188">
        <f t="shared" si="42"/>
        <v>0.17269145284621917</v>
      </c>
      <c r="AO66" s="74">
        <f t="shared" si="24"/>
        <v>2.663771387913759</v>
      </c>
      <c r="AP66" s="73">
        <f t="shared" si="43"/>
        <v>0.20186510884477421</v>
      </c>
      <c r="AQ66" s="206">
        <f t="shared" si="44"/>
        <v>0.30952650022865374</v>
      </c>
      <c r="AR66" s="206">
        <f t="shared" si="45"/>
        <v>3.0218089420955812</v>
      </c>
      <c r="AS66" s="71">
        <f t="shared" si="46"/>
        <v>0.16</v>
      </c>
      <c r="AT66" s="74">
        <f t="shared" si="47"/>
        <v>3.6299999999999995E-5</v>
      </c>
      <c r="AU66" s="73">
        <f t="shared" si="26"/>
        <v>9.136867478343202</v>
      </c>
      <c r="AV66" s="71">
        <f t="shared" si="27"/>
        <v>126.25999999999999</v>
      </c>
      <c r="AW66" s="74">
        <f t="shared" si="28"/>
        <v>93.251788133278168</v>
      </c>
    </row>
    <row r="67" spans="17:49" x14ac:dyDescent="0.25">
      <c r="Q67">
        <v>60</v>
      </c>
      <c r="R67" s="73">
        <f t="shared" si="0"/>
        <v>53.5</v>
      </c>
      <c r="S67" s="71">
        <f t="shared" si="32"/>
        <v>2.4</v>
      </c>
      <c r="T67" s="71">
        <f t="shared" si="2"/>
        <v>11</v>
      </c>
      <c r="U67" s="74">
        <f t="shared" si="33"/>
        <v>11.672727272727274</v>
      </c>
      <c r="V67" s="73">
        <f>IF(Variable_Management!$B$20=3,2,IF((S67*R67/T67)&lt;((T67*(1-(T67/R67)))/(2*Lm*Fsw)),1,2))</f>
        <v>2</v>
      </c>
      <c r="W67" s="71">
        <f t="shared" si="34"/>
        <v>0.79439252336448596</v>
      </c>
      <c r="X67" s="74">
        <f t="shared" si="35"/>
        <v>0.20560747663551404</v>
      </c>
      <c r="Y67" s="73">
        <f t="shared" si="36"/>
        <v>5.8255451713395638</v>
      </c>
      <c r="Z67" s="71">
        <f t="shared" si="30"/>
        <v>14.585499858397055</v>
      </c>
      <c r="AA67" s="71">
        <f t="shared" si="31"/>
        <v>11.793245666994345</v>
      </c>
      <c r="AB67" s="71">
        <v>0</v>
      </c>
      <c r="AC67" s="71">
        <f t="shared" si="37"/>
        <v>0.31988547973278603</v>
      </c>
      <c r="AD67" s="74">
        <f t="shared" si="16"/>
        <v>0.31988547973278603</v>
      </c>
      <c r="AE67" s="73">
        <f t="shared" si="29"/>
        <v>9.2727272727272734</v>
      </c>
      <c r="AF67" s="71">
        <f t="shared" si="17"/>
        <v>10.511166597079489</v>
      </c>
      <c r="AG67" s="71">
        <f t="shared" si="38"/>
        <v>0.44193849292623844</v>
      </c>
      <c r="AH67" s="71">
        <f t="shared" si="39"/>
        <v>2.077327847979582</v>
      </c>
      <c r="AI67" s="74">
        <f t="shared" si="19"/>
        <v>2.5192663409058205</v>
      </c>
      <c r="AJ67" s="73">
        <f t="shared" si="20"/>
        <v>2.4000000000000004</v>
      </c>
      <c r="AK67" s="71">
        <f t="shared" si="40"/>
        <v>5.3475246732036039</v>
      </c>
      <c r="AL67" s="71">
        <f t="shared" si="41"/>
        <v>0.11438408052208525</v>
      </c>
      <c r="AM67" s="71">
        <f t="shared" si="48"/>
        <v>2.3804000000000003</v>
      </c>
      <c r="AN67" s="188">
        <f t="shared" si="42"/>
        <v>0.17502599830076468</v>
      </c>
      <c r="AO67" s="74">
        <f t="shared" si="24"/>
        <v>2.66981007882285</v>
      </c>
      <c r="AP67" s="73">
        <f t="shared" si="43"/>
        <v>0.20862096504312133</v>
      </c>
      <c r="AQ67" s="206">
        <f t="shared" si="44"/>
        <v>0.31988547973278603</v>
      </c>
      <c r="AR67" s="206">
        <f t="shared" si="45"/>
        <v>3.0218089420955812</v>
      </c>
      <c r="AS67" s="71">
        <f t="shared" si="46"/>
        <v>0.16</v>
      </c>
      <c r="AT67" s="74">
        <f t="shared" si="47"/>
        <v>3.6299999999999995E-5</v>
      </c>
      <c r="AU67" s="73">
        <f t="shared" si="26"/>
        <v>9.2193135863329445</v>
      </c>
      <c r="AV67" s="71">
        <f t="shared" si="27"/>
        <v>128.4</v>
      </c>
      <c r="AW67" s="74">
        <f t="shared" si="28"/>
        <v>93.300857745850195</v>
      </c>
    </row>
    <row r="68" spans="17:49" x14ac:dyDescent="0.25">
      <c r="Q68">
        <v>61</v>
      </c>
      <c r="R68" s="73">
        <f t="shared" si="0"/>
        <v>53.5</v>
      </c>
      <c r="S68" s="71">
        <f t="shared" si="32"/>
        <v>2.44</v>
      </c>
      <c r="T68" s="71">
        <f t="shared" si="2"/>
        <v>11</v>
      </c>
      <c r="U68" s="74">
        <f t="shared" si="33"/>
        <v>11.867272727272727</v>
      </c>
      <c r="V68" s="73">
        <f>IF(Variable_Management!$B$20=3,2,IF((S68*R68/T68)&lt;((T68*(1-(T68/R68)))/(2*Lm*Fsw)),1,2))</f>
        <v>2</v>
      </c>
      <c r="W68" s="71">
        <f t="shared" si="34"/>
        <v>0.79439252336448596</v>
      </c>
      <c r="X68" s="74">
        <f t="shared" si="35"/>
        <v>0.20560747663551404</v>
      </c>
      <c r="Y68" s="73">
        <f t="shared" si="36"/>
        <v>5.8255451713395638</v>
      </c>
      <c r="Z68" s="71">
        <f t="shared" si="30"/>
        <v>14.780045312942509</v>
      </c>
      <c r="AA68" s="71">
        <f t="shared" si="31"/>
        <v>11.98583511325268</v>
      </c>
      <c r="AB68" s="71">
        <v>0</v>
      </c>
      <c r="AC68" s="71">
        <f t="shared" si="37"/>
        <v>0.330418559732786</v>
      </c>
      <c r="AD68" s="74">
        <f t="shared" si="16"/>
        <v>0.330418559732786</v>
      </c>
      <c r="AE68" s="73">
        <f t="shared" si="29"/>
        <v>9.4272727272727277</v>
      </c>
      <c r="AF68" s="71">
        <f t="shared" si="17"/>
        <v>10.682819067622534</v>
      </c>
      <c r="AG68" s="71">
        <f t="shared" si="38"/>
        <v>0.45649049292623828</v>
      </c>
      <c r="AH68" s="71">
        <f t="shared" si="39"/>
        <v>2.1119499787792417</v>
      </c>
      <c r="AI68" s="74">
        <f t="shared" si="19"/>
        <v>2.5684404717054798</v>
      </c>
      <c r="AJ68" s="73">
        <f t="shared" si="20"/>
        <v>2.4400000000000004</v>
      </c>
      <c r="AK68" s="71">
        <f t="shared" si="40"/>
        <v>5.4348523559082365</v>
      </c>
      <c r="AL68" s="71">
        <f t="shared" si="41"/>
        <v>0.11815048052208524</v>
      </c>
      <c r="AM68" s="71">
        <f t="shared" si="48"/>
        <v>2.3804000000000003</v>
      </c>
      <c r="AN68" s="188">
        <f t="shared" si="42"/>
        <v>0.1773605437553101</v>
      </c>
      <c r="AO68" s="74">
        <f t="shared" si="24"/>
        <v>2.6759110242773958</v>
      </c>
      <c r="AP68" s="73">
        <f t="shared" si="43"/>
        <v>0.21549036504312133</v>
      </c>
      <c r="AQ68" s="206">
        <f t="shared" si="44"/>
        <v>0.330418559732786</v>
      </c>
      <c r="AR68" s="206">
        <f t="shared" si="45"/>
        <v>3.0218089420955812</v>
      </c>
      <c r="AS68" s="71">
        <f t="shared" si="46"/>
        <v>0.16</v>
      </c>
      <c r="AT68" s="74">
        <f t="shared" si="47"/>
        <v>3.6299999999999995E-5</v>
      </c>
      <c r="AU68" s="73">
        <f t="shared" si="26"/>
        <v>9.3025242225871505</v>
      </c>
      <c r="AV68" s="71">
        <f t="shared" si="27"/>
        <v>130.54</v>
      </c>
      <c r="AW68" s="74">
        <f t="shared" si="28"/>
        <v>93.347857331450669</v>
      </c>
    </row>
    <row r="69" spans="17:49" x14ac:dyDescent="0.25">
      <c r="Q69">
        <v>62</v>
      </c>
      <c r="R69" s="73">
        <f t="shared" si="0"/>
        <v>53.5</v>
      </c>
      <c r="S69" s="71">
        <f t="shared" si="32"/>
        <v>2.48</v>
      </c>
      <c r="T69" s="71">
        <f t="shared" si="2"/>
        <v>11</v>
      </c>
      <c r="U69" s="74">
        <f t="shared" si="33"/>
        <v>12.061818181818182</v>
      </c>
      <c r="V69" s="73">
        <f>IF(Variable_Management!$B$20=3,2,IF((S69*R69/T69)&lt;((T69*(1-(T69/R69)))/(2*Lm*Fsw)),1,2))</f>
        <v>2</v>
      </c>
      <c r="W69" s="71">
        <f t="shared" si="34"/>
        <v>0.79439252336448596</v>
      </c>
      <c r="X69" s="74">
        <f t="shared" si="35"/>
        <v>0.20560747663551404</v>
      </c>
      <c r="Y69" s="73">
        <f t="shared" si="36"/>
        <v>5.8255451713395638</v>
      </c>
      <c r="Z69" s="71">
        <f t="shared" si="30"/>
        <v>14.974590767487964</v>
      </c>
      <c r="AA69" s="71">
        <f t="shared" si="31"/>
        <v>12.178486738090635</v>
      </c>
      <c r="AB69" s="71">
        <v>0</v>
      </c>
      <c r="AC69" s="71">
        <f t="shared" si="37"/>
        <v>0.34112574022865383</v>
      </c>
      <c r="AD69" s="74">
        <f t="shared" si="16"/>
        <v>0.34112574022865383</v>
      </c>
      <c r="AE69" s="73">
        <f t="shared" si="29"/>
        <v>9.581818181818182</v>
      </c>
      <c r="AF69" s="71">
        <f t="shared" si="17"/>
        <v>10.854526957125517</v>
      </c>
      <c r="AG69" s="71">
        <f t="shared" si="38"/>
        <v>0.47128302185185811</v>
      </c>
      <c r="AH69" s="71">
        <f t="shared" si="39"/>
        <v>2.1465721095789014</v>
      </c>
      <c r="AI69" s="74">
        <f t="shared" si="19"/>
        <v>2.6178551314307597</v>
      </c>
      <c r="AJ69" s="73">
        <f t="shared" si="20"/>
        <v>2.4800000000000004</v>
      </c>
      <c r="AK69" s="71">
        <f t="shared" si="40"/>
        <v>5.5222082328435373</v>
      </c>
      <c r="AL69" s="71">
        <f t="shared" si="41"/>
        <v>0.12197913506753978</v>
      </c>
      <c r="AM69" s="71">
        <f t="shared" si="48"/>
        <v>2.3804000000000003</v>
      </c>
      <c r="AN69" s="188">
        <f t="shared" si="42"/>
        <v>0.17969508920985558</v>
      </c>
      <c r="AO69" s="74">
        <f t="shared" si="24"/>
        <v>2.6820742242773958</v>
      </c>
      <c r="AP69" s="73">
        <f t="shared" si="43"/>
        <v>0.22247330884477423</v>
      </c>
      <c r="AQ69" s="206">
        <f t="shared" si="44"/>
        <v>0.34112574022865383</v>
      </c>
      <c r="AR69" s="206">
        <f t="shared" si="45"/>
        <v>3.0218089420955812</v>
      </c>
      <c r="AS69" s="71">
        <f t="shared" si="46"/>
        <v>0.16</v>
      </c>
      <c r="AT69" s="74">
        <f t="shared" si="47"/>
        <v>3.6299999999999995E-5</v>
      </c>
      <c r="AU69" s="73">
        <f t="shared" si="26"/>
        <v>9.3864993871058182</v>
      </c>
      <c r="AV69" s="71">
        <f t="shared" si="27"/>
        <v>132.68</v>
      </c>
      <c r="AW69" s="74">
        <f t="shared" si="28"/>
        <v>93.392883313377567</v>
      </c>
    </row>
    <row r="70" spans="17:49" x14ac:dyDescent="0.25">
      <c r="Q70">
        <v>63</v>
      </c>
      <c r="R70" s="73">
        <f t="shared" si="0"/>
        <v>53.5</v>
      </c>
      <c r="S70" s="71">
        <f t="shared" si="32"/>
        <v>2.52</v>
      </c>
      <c r="T70" s="71">
        <f t="shared" si="2"/>
        <v>11</v>
      </c>
      <c r="U70" s="74">
        <f t="shared" si="33"/>
        <v>12.256363636363636</v>
      </c>
      <c r="V70" s="73">
        <f>IF(Variable_Management!$B$20=3,2,IF((S70*R70/T70)&lt;((T70*(1-(T70/R70)))/(2*Lm*Fsw)),1,2))</f>
        <v>2</v>
      </c>
      <c r="W70" s="71">
        <f t="shared" si="34"/>
        <v>0.79439252336448596</v>
      </c>
      <c r="X70" s="74">
        <f t="shared" si="35"/>
        <v>0.20560747663551404</v>
      </c>
      <c r="Y70" s="73">
        <f t="shared" si="36"/>
        <v>5.8255451713395638</v>
      </c>
      <c r="Z70" s="71">
        <f t="shared" si="30"/>
        <v>15.169136222033417</v>
      </c>
      <c r="AA70" s="71">
        <f t="shared" si="31"/>
        <v>12.371197636663421</v>
      </c>
      <c r="AB70" s="71">
        <v>0</v>
      </c>
      <c r="AC70" s="71">
        <f t="shared" si="37"/>
        <v>0.35200702122038918</v>
      </c>
      <c r="AD70" s="74">
        <f t="shared" si="16"/>
        <v>0.35200702122038918</v>
      </c>
      <c r="AE70" s="73">
        <f t="shared" si="29"/>
        <v>9.7363636363636363</v>
      </c>
      <c r="AF70" s="71">
        <f t="shared" si="17"/>
        <v>11.026287676538031</v>
      </c>
      <c r="AG70" s="71">
        <f t="shared" si="38"/>
        <v>0.48631607970309781</v>
      </c>
      <c r="AH70" s="71">
        <f t="shared" si="39"/>
        <v>2.1811942403785616</v>
      </c>
      <c r="AI70" s="74">
        <f t="shared" si="19"/>
        <v>2.6675103200816594</v>
      </c>
      <c r="AJ70" s="73">
        <f t="shared" si="20"/>
        <v>2.52</v>
      </c>
      <c r="AK70" s="71">
        <f t="shared" si="40"/>
        <v>5.6095909868378291</v>
      </c>
      <c r="AL70" s="71">
        <f t="shared" si="41"/>
        <v>0.12587004415844882</v>
      </c>
      <c r="AM70" s="71">
        <f t="shared" si="48"/>
        <v>2.3804000000000003</v>
      </c>
      <c r="AN70" s="188">
        <f t="shared" si="42"/>
        <v>0.182029634664401</v>
      </c>
      <c r="AO70" s="74">
        <f t="shared" si="24"/>
        <v>2.6882996788228501</v>
      </c>
      <c r="AP70" s="73">
        <f t="shared" si="43"/>
        <v>0.22956979644807993</v>
      </c>
      <c r="AQ70" s="206">
        <f t="shared" si="44"/>
        <v>0.35200702122038918</v>
      </c>
      <c r="AR70" s="206">
        <f t="shared" si="45"/>
        <v>3.0218089420955812</v>
      </c>
      <c r="AS70" s="71">
        <f t="shared" si="46"/>
        <v>0.16</v>
      </c>
      <c r="AT70" s="74">
        <f t="shared" si="47"/>
        <v>3.6299999999999995E-5</v>
      </c>
      <c r="AU70" s="73">
        <f t="shared" si="26"/>
        <v>9.4712390798889494</v>
      </c>
      <c r="AV70" s="71">
        <f t="shared" si="27"/>
        <v>134.82</v>
      </c>
      <c r="AW70" s="74">
        <f t="shared" si="28"/>
        <v>93.436026233966246</v>
      </c>
    </row>
    <row r="71" spans="17:49" x14ac:dyDescent="0.25">
      <c r="Q71">
        <v>64</v>
      </c>
      <c r="R71" s="73">
        <f t="shared" ref="R71:R134" si="49">VOUT</f>
        <v>53.5</v>
      </c>
      <c r="S71" s="71">
        <f t="shared" ref="S71:S102" si="50">Q71*$O$12</f>
        <v>2.56</v>
      </c>
      <c r="T71" s="71">
        <f t="shared" ref="T71:T134" si="51">VIN_var</f>
        <v>11</v>
      </c>
      <c r="U71" s="74">
        <f t="shared" ref="U71:U102" si="52">(R71*S71)/(T71*EFF_est)</f>
        <v>12.450909090909091</v>
      </c>
      <c r="V71" s="73">
        <f>IF(Variable_Management!$B$20=3,2,IF((S71*R71/T71)&lt;((T71*(1-(T71/R71)))/(2*Lm*Fsw)),1,2))</f>
        <v>2</v>
      </c>
      <c r="W71" s="71">
        <f t="shared" ref="W71:W102" si="53">CHOOSE(V71,SQRT((2*S71*Lm*Fsw*(R71-T71))/((T71)^2)),1-(T71/R71))</f>
        <v>0.79439252336448596</v>
      </c>
      <c r="X71" s="74">
        <f t="shared" ref="X71:X102" si="54">CHOOSE(V71,(Lm*Z71*Fsw)/(R71-T71),1-W71)</f>
        <v>0.20560747663551404</v>
      </c>
      <c r="Y71" s="73">
        <f t="shared" ref="Y71:Y102" si="55">(T71*W71)/(Lm*Fsw)</f>
        <v>5.8255451713395638</v>
      </c>
      <c r="Z71" s="71">
        <f t="shared" si="30"/>
        <v>15.363681676578873</v>
      </c>
      <c r="AA71" s="71">
        <f t="shared" si="31"/>
        <v>12.56396508148174</v>
      </c>
      <c r="AB71" s="71">
        <v>0</v>
      </c>
      <c r="AC71" s="71">
        <f t="shared" ref="AC71:AC102" si="56">(AA71^2)*Rdcr</f>
        <v>0.36306240270799262</v>
      </c>
      <c r="AD71" s="74">
        <f t="shared" si="16"/>
        <v>0.36306240270799262</v>
      </c>
      <c r="AE71" s="73">
        <f t="shared" si="29"/>
        <v>9.8909090909090907</v>
      </c>
      <c r="AF71" s="71">
        <f t="shared" si="17"/>
        <v>11.198098794884306</v>
      </c>
      <c r="AG71" s="71">
        <f t="shared" ref="AG71:AG102" si="57">(AF71^2)*RDS_on</f>
        <v>0.5015896664799574</v>
      </c>
      <c r="AH71" s="71">
        <f t="shared" ref="AH71:AH102" si="58">((R71*U71)/2)*Fsw*(tr_sw+tf_sw)</f>
        <v>2.2158163711782208</v>
      </c>
      <c r="AI71" s="74">
        <f t="shared" si="19"/>
        <v>2.7174060376581783</v>
      </c>
      <c r="AJ71" s="73">
        <f t="shared" si="20"/>
        <v>2.5600000000000005</v>
      </c>
      <c r="AK71" s="71">
        <f t="shared" ref="AK71:AK102" si="59">CHOOSE(V71,Z71*SQRT(X71/3),SQRT(X71*((Z71^2)+((Y71^2)/3)-(Y71*Z71))))</f>
        <v>5.6969993811394364</v>
      </c>
      <c r="AL71" s="71">
        <f t="shared" ref="AL71:AL102" si="60">(AK71^2)*RDS_on_HS</f>
        <v>0.12982320779481249</v>
      </c>
      <c r="AM71" s="71">
        <f t="shared" si="48"/>
        <v>2.3804000000000003</v>
      </c>
      <c r="AN71" s="188">
        <f t="shared" ref="AN71:AN102" si="61">Vd_rect*t_dead*Fsw*Z71</f>
        <v>0.18436418011894648</v>
      </c>
      <c r="AO71" s="74">
        <f t="shared" si="24"/>
        <v>2.6945873879137592</v>
      </c>
      <c r="AP71" s="73">
        <f t="shared" ref="AP71:AP102" si="62">(AA71^2)*R_cs</f>
        <v>0.23677982785303869</v>
      </c>
      <c r="AQ71" s="206">
        <f t="shared" ref="AQ71:AQ102" si="63">Rdcr*AA71^2</f>
        <v>0.36306240270799262</v>
      </c>
      <c r="AR71" s="206">
        <f t="shared" ref="AR71:AR102" si="64">ABS(7.759*10^-3*Fsw^0.9458*(0.00787*Y71)^2.304)</f>
        <v>3.0218089420955812</v>
      </c>
      <c r="AS71" s="71">
        <f t="shared" ref="AS71:AS102" si="65">(Qg_tot+Qg_tot_HS)*Vcc*Fsw</f>
        <v>0.16</v>
      </c>
      <c r="AT71" s="74">
        <f t="shared" ref="AT71:AT102" si="66">IQ*T71</f>
        <v>3.6299999999999995E-5</v>
      </c>
      <c r="AU71" s="73">
        <f t="shared" si="26"/>
        <v>9.5567433009365423</v>
      </c>
      <c r="AV71" s="71">
        <f t="shared" si="27"/>
        <v>136.96</v>
      </c>
      <c r="AW71" s="74">
        <f t="shared" si="28"/>
        <v>93.477371196200039</v>
      </c>
    </row>
    <row r="72" spans="17:49" x14ac:dyDescent="0.25">
      <c r="Q72">
        <v>65</v>
      </c>
      <c r="R72" s="73">
        <f t="shared" si="49"/>
        <v>53.5</v>
      </c>
      <c r="S72" s="71">
        <f t="shared" si="50"/>
        <v>2.6</v>
      </c>
      <c r="T72" s="71">
        <f t="shared" si="51"/>
        <v>11</v>
      </c>
      <c r="U72" s="74">
        <f t="shared" si="52"/>
        <v>12.645454545454545</v>
      </c>
      <c r="V72" s="73">
        <f>IF(Variable_Management!$B$20=3,2,IF((S72*R72/T72)&lt;((T72*(1-(T72/R72)))/(2*Lm*Fsw)),1,2))</f>
        <v>2</v>
      </c>
      <c r="W72" s="71">
        <f t="shared" si="53"/>
        <v>0.79439252336448596</v>
      </c>
      <c r="X72" s="74">
        <f t="shared" si="54"/>
        <v>0.20560747663551404</v>
      </c>
      <c r="Y72" s="73">
        <f t="shared" si="55"/>
        <v>5.8255451713395638</v>
      </c>
      <c r="Z72" s="71">
        <f t="shared" si="30"/>
        <v>15.558227131124326</v>
      </c>
      <c r="AA72" s="71">
        <f t="shared" si="31"/>
        <v>12.756786509139628</v>
      </c>
      <c r="AB72" s="71">
        <v>0</v>
      </c>
      <c r="AC72" s="71">
        <f t="shared" si="56"/>
        <v>0.37429188469146368</v>
      </c>
      <c r="AD72" s="74">
        <f t="shared" ref="AD72:AD135" si="67">AB72+AC72</f>
        <v>0.37429188469146368</v>
      </c>
      <c r="AE72" s="73">
        <f t="shared" si="29"/>
        <v>10.045454545454545</v>
      </c>
      <c r="AF72" s="71">
        <f t="shared" ref="AF72:AF135" si="68">CHOOSE(V72,Z72*SQRT(W72/3),SQRT(W72*((Z72^2)+((Y72^2)/3)-(Z72*Y72))))</f>
        <v>11.369958027433924</v>
      </c>
      <c r="AG72" s="71">
        <f t="shared" si="57"/>
        <v>0.51710378218243647</v>
      </c>
      <c r="AH72" s="71">
        <f t="shared" si="58"/>
        <v>2.2504385019778805</v>
      </c>
      <c r="AI72" s="74">
        <f t="shared" ref="AI72:AI135" si="69">AG72+AH72</f>
        <v>2.7675422841603172</v>
      </c>
      <c r="AJ72" s="73">
        <f t="shared" ref="AJ72:AJ135" si="70">X72*U72</f>
        <v>2.6</v>
      </c>
      <c r="AK72" s="71">
        <f t="shared" si="59"/>
        <v>5.7844322533985704</v>
      </c>
      <c r="AL72" s="71">
        <f t="shared" si="60"/>
        <v>0.13383862597663065</v>
      </c>
      <c r="AM72" s="71">
        <f t="shared" ref="AM72:AM103" si="71">CHOOSE(V72,(R72+Vd_rect)*Qrr*Fsw,(R72+Vd_rect)*Qrr*Fsw)</f>
        <v>2.3804000000000003</v>
      </c>
      <c r="AN72" s="188">
        <f t="shared" si="61"/>
        <v>0.18669872557349193</v>
      </c>
      <c r="AO72" s="74">
        <f t="shared" ref="AO72:AO135" si="72">AL72+AM72+AN72</f>
        <v>2.7009373515501229</v>
      </c>
      <c r="AP72" s="73">
        <f t="shared" si="62"/>
        <v>0.24410340305965025</v>
      </c>
      <c r="AQ72" s="206">
        <f t="shared" si="63"/>
        <v>0.37429188469146368</v>
      </c>
      <c r="AR72" s="206">
        <f t="shared" si="64"/>
        <v>3.0218089420955812</v>
      </c>
      <c r="AS72" s="71">
        <f t="shared" si="65"/>
        <v>0.16</v>
      </c>
      <c r="AT72" s="74">
        <f t="shared" si="66"/>
        <v>3.6299999999999995E-5</v>
      </c>
      <c r="AU72" s="73">
        <f t="shared" ref="AU72:AU135" si="73">AP72+AO72+AI72+AD72+AS72+AT72+AQ72+AR72</f>
        <v>9.643012050248597</v>
      </c>
      <c r="AV72" s="71">
        <f t="shared" ref="AV72:AV135" si="74">R72*S72</f>
        <v>139.1</v>
      </c>
      <c r="AW72" s="74">
        <f t="shared" ref="AW72:AW135" si="75">(AV72/(AV72+AU72))*100</f>
        <v>93.516998266116218</v>
      </c>
    </row>
    <row r="73" spans="17:49" x14ac:dyDescent="0.25">
      <c r="Q73">
        <v>66</v>
      </c>
      <c r="R73" s="73">
        <f t="shared" si="49"/>
        <v>53.5</v>
      </c>
      <c r="S73" s="71">
        <f t="shared" si="50"/>
        <v>2.64</v>
      </c>
      <c r="T73" s="71">
        <f t="shared" si="51"/>
        <v>11</v>
      </c>
      <c r="U73" s="74">
        <f t="shared" si="52"/>
        <v>12.840000000000002</v>
      </c>
      <c r="V73" s="73">
        <f>IF(Variable_Management!$B$20=3,2,IF((S73*R73/T73)&lt;((T73*(1-(T73/R73)))/(2*Lm*Fsw)),1,2))</f>
        <v>2</v>
      </c>
      <c r="W73" s="71">
        <f t="shared" si="53"/>
        <v>0.79439252336448596</v>
      </c>
      <c r="X73" s="74">
        <f t="shared" si="54"/>
        <v>0.20560747663551404</v>
      </c>
      <c r="Y73" s="73">
        <f t="shared" si="55"/>
        <v>5.8255451713395638</v>
      </c>
      <c r="Z73" s="71">
        <f t="shared" si="30"/>
        <v>15.752772585669783</v>
      </c>
      <c r="AA73" s="71">
        <f t="shared" si="31"/>
        <v>12.949659508211397</v>
      </c>
      <c r="AB73" s="71">
        <v>0</v>
      </c>
      <c r="AC73" s="71">
        <f t="shared" si="56"/>
        <v>0.38569546717080266</v>
      </c>
      <c r="AD73" s="74">
        <f t="shared" si="67"/>
        <v>0.38569546717080266</v>
      </c>
      <c r="AE73" s="73">
        <f t="shared" ref="AE73:AE136" si="76">U73*W73</f>
        <v>10.200000000000001</v>
      </c>
      <c r="AF73" s="71">
        <f t="shared" si="68"/>
        <v>11.541863224914509</v>
      </c>
      <c r="AG73" s="71">
        <f t="shared" si="57"/>
        <v>0.53285842681053586</v>
      </c>
      <c r="AH73" s="71">
        <f t="shared" si="58"/>
        <v>2.2850606327775402</v>
      </c>
      <c r="AI73" s="74">
        <f t="shared" si="69"/>
        <v>2.8179190595880761</v>
      </c>
      <c r="AJ73" s="73">
        <f t="shared" si="70"/>
        <v>2.6400000000000006</v>
      </c>
      <c r="AK73" s="71">
        <f t="shared" si="59"/>
        <v>5.871888510179315</v>
      </c>
      <c r="AL73" s="71">
        <f t="shared" si="60"/>
        <v>0.13791629870390343</v>
      </c>
      <c r="AM73" s="71">
        <f t="shared" si="71"/>
        <v>2.3804000000000003</v>
      </c>
      <c r="AN73" s="188">
        <f t="shared" si="61"/>
        <v>0.18903327102803741</v>
      </c>
      <c r="AO73" s="74">
        <f t="shared" si="72"/>
        <v>2.7073495697319414</v>
      </c>
      <c r="AP73" s="73">
        <f t="shared" si="62"/>
        <v>0.25154052206791477</v>
      </c>
      <c r="AQ73" s="206">
        <f t="shared" si="63"/>
        <v>0.38569546717080266</v>
      </c>
      <c r="AR73" s="206">
        <f t="shared" si="64"/>
        <v>3.0218089420955812</v>
      </c>
      <c r="AS73" s="71">
        <f t="shared" si="65"/>
        <v>0.16</v>
      </c>
      <c r="AT73" s="74">
        <f t="shared" si="66"/>
        <v>3.6299999999999995E-5</v>
      </c>
      <c r="AU73" s="73">
        <f t="shared" si="73"/>
        <v>9.7300453278251169</v>
      </c>
      <c r="AV73" s="71">
        <f t="shared" si="74"/>
        <v>141.24</v>
      </c>
      <c r="AW73" s="74">
        <f t="shared" si="75"/>
        <v>93.554982840008606</v>
      </c>
    </row>
    <row r="74" spans="17:49" x14ac:dyDescent="0.25">
      <c r="Q74">
        <v>67</v>
      </c>
      <c r="R74" s="73">
        <f t="shared" si="49"/>
        <v>53.5</v>
      </c>
      <c r="S74" s="71">
        <f t="shared" si="50"/>
        <v>2.68</v>
      </c>
      <c r="T74" s="71">
        <f t="shared" si="51"/>
        <v>11</v>
      </c>
      <c r="U74" s="74">
        <f t="shared" si="52"/>
        <v>13.034545454545453</v>
      </c>
      <c r="V74" s="73">
        <f>IF(Variable_Management!$B$20=3,2,IF((S74*R74/T74)&lt;((T74*(1-(T74/R74)))/(2*Lm*Fsw)),1,2))</f>
        <v>2</v>
      </c>
      <c r="W74" s="71">
        <f t="shared" si="53"/>
        <v>0.79439252336448596</v>
      </c>
      <c r="X74" s="74">
        <f t="shared" si="54"/>
        <v>0.20560747663551404</v>
      </c>
      <c r="Y74" s="73">
        <f t="shared" si="55"/>
        <v>5.8255451713395638</v>
      </c>
      <c r="Z74" s="71">
        <f t="shared" si="30"/>
        <v>15.947318040215235</v>
      </c>
      <c r="AA74" s="71">
        <f t="shared" si="31"/>
        <v>13.142581808199687</v>
      </c>
      <c r="AB74" s="71">
        <v>0</v>
      </c>
      <c r="AC74" s="71">
        <f t="shared" si="56"/>
        <v>0.39727315014600911</v>
      </c>
      <c r="AD74" s="74">
        <f t="shared" si="67"/>
        <v>0.39727315014600911</v>
      </c>
      <c r="AE74" s="73">
        <f t="shared" si="76"/>
        <v>10.354545454545454</v>
      </c>
      <c r="AF74" s="71">
        <f t="shared" si="68"/>
        <v>11.713812363661271</v>
      </c>
      <c r="AG74" s="71">
        <f t="shared" si="57"/>
        <v>0.54885360036425457</v>
      </c>
      <c r="AH74" s="71">
        <f t="shared" si="58"/>
        <v>2.3196827635771999</v>
      </c>
      <c r="AI74" s="74">
        <f t="shared" si="69"/>
        <v>2.8685363639414545</v>
      </c>
      <c r="AJ74" s="73">
        <f t="shared" si="70"/>
        <v>2.68</v>
      </c>
      <c r="AK74" s="71">
        <f t="shared" si="59"/>
        <v>5.9593671219482403</v>
      </c>
      <c r="AL74" s="71">
        <f t="shared" si="60"/>
        <v>0.14205622597663059</v>
      </c>
      <c r="AM74" s="71">
        <f t="shared" si="71"/>
        <v>2.3804000000000003</v>
      </c>
      <c r="AN74" s="188">
        <f t="shared" si="61"/>
        <v>0.19136781648258283</v>
      </c>
      <c r="AO74" s="74">
        <f t="shared" si="72"/>
        <v>2.7138240424592137</v>
      </c>
      <c r="AP74" s="73">
        <f t="shared" si="62"/>
        <v>0.259091184877832</v>
      </c>
      <c r="AQ74" s="206">
        <f t="shared" si="63"/>
        <v>0.39727315014600911</v>
      </c>
      <c r="AR74" s="206">
        <f t="shared" si="64"/>
        <v>3.0218089420955812</v>
      </c>
      <c r="AS74" s="71">
        <f t="shared" si="65"/>
        <v>0.16</v>
      </c>
      <c r="AT74" s="74">
        <f t="shared" si="66"/>
        <v>3.6299999999999995E-5</v>
      </c>
      <c r="AU74" s="73">
        <f t="shared" si="73"/>
        <v>9.8178431336660985</v>
      </c>
      <c r="AV74" s="71">
        <f t="shared" si="74"/>
        <v>143.38</v>
      </c>
      <c r="AW74" s="74">
        <f t="shared" si="75"/>
        <v>93.591395979968226</v>
      </c>
    </row>
    <row r="75" spans="17:49" x14ac:dyDescent="0.25">
      <c r="Q75">
        <v>68</v>
      </c>
      <c r="R75" s="73">
        <f t="shared" si="49"/>
        <v>53.5</v>
      </c>
      <c r="S75" s="71">
        <f t="shared" si="50"/>
        <v>2.72</v>
      </c>
      <c r="T75" s="71">
        <f t="shared" si="51"/>
        <v>11</v>
      </c>
      <c r="U75" s="74">
        <f t="shared" si="52"/>
        <v>13.22909090909091</v>
      </c>
      <c r="V75" s="73">
        <f>IF(Variable_Management!$B$20=3,2,IF((S75*R75/T75)&lt;((T75*(1-(T75/R75)))/(2*Lm*Fsw)),1,2))</f>
        <v>2</v>
      </c>
      <c r="W75" s="71">
        <f t="shared" si="53"/>
        <v>0.79439252336448596</v>
      </c>
      <c r="X75" s="74">
        <f t="shared" si="54"/>
        <v>0.20560747663551404</v>
      </c>
      <c r="Y75" s="73">
        <f t="shared" si="55"/>
        <v>5.8255451713395638</v>
      </c>
      <c r="Z75" s="71">
        <f t="shared" si="30"/>
        <v>16.141863494760692</v>
      </c>
      <c r="AA75" s="71">
        <f t="shared" si="31"/>
        <v>13.335551269430205</v>
      </c>
      <c r="AB75" s="71">
        <v>0</v>
      </c>
      <c r="AC75" s="71">
        <f t="shared" si="56"/>
        <v>0.40902493361708353</v>
      </c>
      <c r="AD75" s="74">
        <f t="shared" si="67"/>
        <v>0.40902493361708353</v>
      </c>
      <c r="AE75" s="73">
        <f t="shared" si="76"/>
        <v>10.50909090909091</v>
      </c>
      <c r="AF75" s="71">
        <f t="shared" si="68"/>
        <v>11.885803536610322</v>
      </c>
      <c r="AG75" s="71">
        <f t="shared" si="57"/>
        <v>0.56508930284359371</v>
      </c>
      <c r="AH75" s="71">
        <f t="shared" si="58"/>
        <v>2.3543048943768601</v>
      </c>
      <c r="AI75" s="74">
        <f t="shared" si="69"/>
        <v>2.9193941972204538</v>
      </c>
      <c r="AJ75" s="73">
        <f t="shared" si="70"/>
        <v>2.7200000000000006</v>
      </c>
      <c r="AK75" s="71">
        <f t="shared" si="59"/>
        <v>6.0468671184922798</v>
      </c>
      <c r="AL75" s="71">
        <f t="shared" si="60"/>
        <v>0.14625840779481253</v>
      </c>
      <c r="AM75" s="71">
        <f t="shared" si="71"/>
        <v>2.3804000000000003</v>
      </c>
      <c r="AN75" s="188">
        <f t="shared" si="61"/>
        <v>0.19370236193712831</v>
      </c>
      <c r="AO75" s="74">
        <f t="shared" si="72"/>
        <v>2.7203607697319412</v>
      </c>
      <c r="AP75" s="73">
        <f t="shared" si="62"/>
        <v>0.2667553914894023</v>
      </c>
      <c r="AQ75" s="206">
        <f t="shared" si="63"/>
        <v>0.40902493361708353</v>
      </c>
      <c r="AR75" s="206">
        <f t="shared" si="64"/>
        <v>3.0218089420955812</v>
      </c>
      <c r="AS75" s="71">
        <f t="shared" si="65"/>
        <v>0.16</v>
      </c>
      <c r="AT75" s="74">
        <f t="shared" si="66"/>
        <v>3.6299999999999995E-5</v>
      </c>
      <c r="AU75" s="73">
        <f t="shared" si="73"/>
        <v>9.9064054677715454</v>
      </c>
      <c r="AV75" s="71">
        <f t="shared" si="74"/>
        <v>145.52000000000001</v>
      </c>
      <c r="AW75" s="74">
        <f t="shared" si="75"/>
        <v>93.626304720901686</v>
      </c>
    </row>
    <row r="76" spans="17:49" x14ac:dyDescent="0.25">
      <c r="Q76">
        <v>69</v>
      </c>
      <c r="R76" s="73">
        <f t="shared" si="49"/>
        <v>53.5</v>
      </c>
      <c r="S76" s="71">
        <f t="shared" si="50"/>
        <v>2.7600000000000002</v>
      </c>
      <c r="T76" s="71">
        <f t="shared" si="51"/>
        <v>11</v>
      </c>
      <c r="U76" s="74">
        <f t="shared" si="52"/>
        <v>13.423636363636366</v>
      </c>
      <c r="V76" s="73">
        <f>IF(Variable_Management!$B$20=3,2,IF((S76*R76/T76)&lt;((T76*(1-(T76/R76)))/(2*Lm*Fsw)),1,2))</f>
        <v>2</v>
      </c>
      <c r="W76" s="71">
        <f t="shared" si="53"/>
        <v>0.79439252336448596</v>
      </c>
      <c r="X76" s="74">
        <f t="shared" si="54"/>
        <v>0.20560747663551404</v>
      </c>
      <c r="Y76" s="73">
        <f t="shared" si="55"/>
        <v>5.8255451713395638</v>
      </c>
      <c r="Z76" s="71">
        <f t="shared" si="30"/>
        <v>16.336408949306147</v>
      </c>
      <c r="AA76" s="71">
        <f t="shared" si="31"/>
        <v>13.528565873800163</v>
      </c>
      <c r="AB76" s="71">
        <v>0</v>
      </c>
      <c r="AC76" s="71">
        <f t="shared" si="56"/>
        <v>0.42095081758402586</v>
      </c>
      <c r="AD76" s="74">
        <f t="shared" si="67"/>
        <v>0.42095081758402586</v>
      </c>
      <c r="AE76" s="73">
        <f t="shared" si="76"/>
        <v>10.663636363636364</v>
      </c>
      <c r="AF76" s="71">
        <f t="shared" si="68"/>
        <v>12.057834945052869</v>
      </c>
      <c r="AG76" s="71">
        <f t="shared" si="57"/>
        <v>0.58156553424855262</v>
      </c>
      <c r="AH76" s="71">
        <f t="shared" si="58"/>
        <v>2.3889270251765198</v>
      </c>
      <c r="AI76" s="74">
        <f t="shared" si="69"/>
        <v>2.9704925594250726</v>
      </c>
      <c r="AJ76" s="73">
        <f t="shared" si="70"/>
        <v>2.7600000000000007</v>
      </c>
      <c r="AK76" s="71">
        <f t="shared" si="59"/>
        <v>6.1343875847236964</v>
      </c>
      <c r="AL76" s="71">
        <f t="shared" si="60"/>
        <v>0.15052284415844888</v>
      </c>
      <c r="AM76" s="71">
        <f t="shared" si="71"/>
        <v>2.3804000000000003</v>
      </c>
      <c r="AN76" s="188">
        <f t="shared" si="61"/>
        <v>0.19603690739167376</v>
      </c>
      <c r="AO76" s="74">
        <f t="shared" si="72"/>
        <v>2.7269597515501229</v>
      </c>
      <c r="AP76" s="73">
        <f t="shared" si="62"/>
        <v>0.27453314190262557</v>
      </c>
      <c r="AQ76" s="206">
        <f t="shared" si="63"/>
        <v>0.42095081758402586</v>
      </c>
      <c r="AR76" s="206">
        <f t="shared" si="64"/>
        <v>3.0218089420955812</v>
      </c>
      <c r="AS76" s="71">
        <f t="shared" si="65"/>
        <v>0.16</v>
      </c>
      <c r="AT76" s="74">
        <f t="shared" si="66"/>
        <v>3.6299999999999995E-5</v>
      </c>
      <c r="AU76" s="73">
        <f t="shared" si="73"/>
        <v>9.995732330141454</v>
      </c>
      <c r="AV76" s="71">
        <f t="shared" si="74"/>
        <v>147.66000000000003</v>
      </c>
      <c r="AW76" s="74">
        <f t="shared" si="75"/>
        <v>93.659772351816713</v>
      </c>
    </row>
    <row r="77" spans="17:49" x14ac:dyDescent="0.25">
      <c r="Q77">
        <v>70</v>
      </c>
      <c r="R77" s="73">
        <f t="shared" si="49"/>
        <v>53.5</v>
      </c>
      <c r="S77" s="71">
        <f t="shared" si="50"/>
        <v>2.8000000000000003</v>
      </c>
      <c r="T77" s="71">
        <f t="shared" si="51"/>
        <v>11</v>
      </c>
      <c r="U77" s="74">
        <f t="shared" si="52"/>
        <v>13.618181818181819</v>
      </c>
      <c r="V77" s="73">
        <f>IF(Variable_Management!$B$20=3,2,IF((S77*R77/T77)&lt;((T77*(1-(T77/R77)))/(2*Lm*Fsw)),1,2))</f>
        <v>2</v>
      </c>
      <c r="W77" s="71">
        <f t="shared" si="53"/>
        <v>0.79439252336448596</v>
      </c>
      <c r="X77" s="74">
        <f t="shared" si="54"/>
        <v>0.20560747663551404</v>
      </c>
      <c r="Y77" s="73">
        <f t="shared" si="55"/>
        <v>5.8255451713395638</v>
      </c>
      <c r="Z77" s="71">
        <f t="shared" si="30"/>
        <v>16.530954403851602</v>
      </c>
      <c r="AA77" s="71">
        <f t="shared" si="31"/>
        <v>13.721623716297852</v>
      </c>
      <c r="AB77" s="71">
        <v>0</v>
      </c>
      <c r="AC77" s="71">
        <f t="shared" si="56"/>
        <v>0.43305080204683571</v>
      </c>
      <c r="AD77" s="74">
        <f t="shared" si="67"/>
        <v>0.43305080204683571</v>
      </c>
      <c r="AE77" s="73">
        <f t="shared" si="76"/>
        <v>10.818181818181818</v>
      </c>
      <c r="AF77" s="71">
        <f t="shared" si="68"/>
        <v>12.229904891076741</v>
      </c>
      <c r="AG77" s="71">
        <f t="shared" si="57"/>
        <v>0.59828229457913118</v>
      </c>
      <c r="AH77" s="71">
        <f t="shared" si="58"/>
        <v>2.4235491559761795</v>
      </c>
      <c r="AI77" s="74">
        <f t="shared" si="69"/>
        <v>3.0218314505553105</v>
      </c>
      <c r="AJ77" s="73">
        <f t="shared" si="70"/>
        <v>2.8000000000000007</v>
      </c>
      <c r="AK77" s="71">
        <f t="shared" si="59"/>
        <v>6.2219276568347333</v>
      </c>
      <c r="AL77" s="71">
        <f t="shared" si="60"/>
        <v>0.15484953506753982</v>
      </c>
      <c r="AM77" s="71">
        <f t="shared" si="71"/>
        <v>2.3804000000000003</v>
      </c>
      <c r="AN77" s="188">
        <f t="shared" si="61"/>
        <v>0.19837145284621924</v>
      </c>
      <c r="AO77" s="74">
        <f t="shared" si="72"/>
        <v>2.733620987913759</v>
      </c>
      <c r="AP77" s="73">
        <f t="shared" si="62"/>
        <v>0.28242443611750156</v>
      </c>
      <c r="AQ77" s="206">
        <f t="shared" si="63"/>
        <v>0.43305080204683571</v>
      </c>
      <c r="AR77" s="206">
        <f t="shared" si="64"/>
        <v>3.0218089420955812</v>
      </c>
      <c r="AS77" s="71">
        <f t="shared" si="65"/>
        <v>0.16</v>
      </c>
      <c r="AT77" s="74">
        <f t="shared" si="66"/>
        <v>3.6299999999999995E-5</v>
      </c>
      <c r="AU77" s="73">
        <f t="shared" si="73"/>
        <v>10.085823720775824</v>
      </c>
      <c r="AV77" s="71">
        <f t="shared" si="74"/>
        <v>149.80000000000001</v>
      </c>
      <c r="AW77" s="74">
        <f t="shared" si="75"/>
        <v>93.691858673856103</v>
      </c>
    </row>
    <row r="78" spans="17:49" x14ac:dyDescent="0.25">
      <c r="Q78">
        <v>71</v>
      </c>
      <c r="R78" s="73">
        <f t="shared" si="49"/>
        <v>53.5</v>
      </c>
      <c r="S78" s="71">
        <f t="shared" si="50"/>
        <v>2.84</v>
      </c>
      <c r="T78" s="71">
        <f t="shared" si="51"/>
        <v>11</v>
      </c>
      <c r="U78" s="74">
        <f t="shared" si="52"/>
        <v>13.812727272727273</v>
      </c>
      <c r="V78" s="73">
        <f>IF(Variable_Management!$B$20=3,2,IF((S78*R78/T78)&lt;((T78*(1-(T78/R78)))/(2*Lm*Fsw)),1,2))</f>
        <v>2</v>
      </c>
      <c r="W78" s="71">
        <f t="shared" si="53"/>
        <v>0.79439252336448596</v>
      </c>
      <c r="X78" s="74">
        <f t="shared" si="54"/>
        <v>0.20560747663551404</v>
      </c>
      <c r="Y78" s="73">
        <f t="shared" si="55"/>
        <v>5.8255451713395638</v>
      </c>
      <c r="Z78" s="71">
        <f t="shared" si="30"/>
        <v>16.725499858397054</v>
      </c>
      <c r="AA78" s="71">
        <f t="shared" si="31"/>
        <v>13.914722997219657</v>
      </c>
      <c r="AB78" s="71">
        <v>0</v>
      </c>
      <c r="AC78" s="71">
        <f t="shared" si="56"/>
        <v>0.44532488700551326</v>
      </c>
      <c r="AD78" s="74">
        <f t="shared" si="67"/>
        <v>0.44532488700551326</v>
      </c>
      <c r="AE78" s="73">
        <f t="shared" si="76"/>
        <v>10.972727272727273</v>
      </c>
      <c r="AF78" s="71">
        <f t="shared" si="68"/>
        <v>12.402011770629484</v>
      </c>
      <c r="AG78" s="71">
        <f t="shared" si="57"/>
        <v>0.61523958383532906</v>
      </c>
      <c r="AH78" s="71">
        <f t="shared" si="58"/>
        <v>2.4581712867758387</v>
      </c>
      <c r="AI78" s="74">
        <f t="shared" si="69"/>
        <v>3.073410870611168</v>
      </c>
      <c r="AJ78" s="73">
        <f t="shared" si="70"/>
        <v>2.8400000000000003</v>
      </c>
      <c r="AK78" s="71">
        <f t="shared" si="59"/>
        <v>6.3094865187684883</v>
      </c>
      <c r="AL78" s="71">
        <f t="shared" si="60"/>
        <v>0.1592384805220852</v>
      </c>
      <c r="AM78" s="71">
        <f t="shared" si="71"/>
        <v>2.3804000000000003</v>
      </c>
      <c r="AN78" s="188">
        <f t="shared" si="61"/>
        <v>0.20070599830076466</v>
      </c>
      <c r="AO78" s="74">
        <f t="shared" si="72"/>
        <v>2.7403444788228501</v>
      </c>
      <c r="AP78" s="73">
        <f t="shared" si="62"/>
        <v>0.29042927413403041</v>
      </c>
      <c r="AQ78" s="206">
        <f t="shared" si="63"/>
        <v>0.44532488700551326</v>
      </c>
      <c r="AR78" s="206">
        <f t="shared" si="64"/>
        <v>3.0218089420955812</v>
      </c>
      <c r="AS78" s="71">
        <f t="shared" si="65"/>
        <v>0.16</v>
      </c>
      <c r="AT78" s="74">
        <f t="shared" si="66"/>
        <v>3.6299999999999995E-5</v>
      </c>
      <c r="AU78" s="73">
        <f t="shared" si="73"/>
        <v>10.176679639674656</v>
      </c>
      <c r="AV78" s="71">
        <f t="shared" si="74"/>
        <v>151.94</v>
      </c>
      <c r="AW78" s="74">
        <f t="shared" si="75"/>
        <v>93.722620237292261</v>
      </c>
    </row>
    <row r="79" spans="17:49" x14ac:dyDescent="0.25">
      <c r="Q79">
        <v>72</v>
      </c>
      <c r="R79" s="73">
        <f t="shared" si="49"/>
        <v>53.5</v>
      </c>
      <c r="S79" s="71">
        <f t="shared" si="50"/>
        <v>2.88</v>
      </c>
      <c r="T79" s="71">
        <f t="shared" si="51"/>
        <v>11</v>
      </c>
      <c r="U79" s="74">
        <f t="shared" si="52"/>
        <v>14.007272727272726</v>
      </c>
      <c r="V79" s="73">
        <f>IF(Variable_Management!$B$20=3,2,IF((S79*R79/T79)&lt;((T79*(1-(T79/R79)))/(2*Lm*Fsw)),1,2))</f>
        <v>2</v>
      </c>
      <c r="W79" s="71">
        <f t="shared" si="53"/>
        <v>0.79439252336448596</v>
      </c>
      <c r="X79" s="74">
        <f t="shared" si="54"/>
        <v>0.20560747663551404</v>
      </c>
      <c r="Y79" s="73">
        <f t="shared" si="55"/>
        <v>5.8255451713395638</v>
      </c>
      <c r="Z79" s="71">
        <f t="shared" si="30"/>
        <v>16.920045312942509</v>
      </c>
      <c r="AA79" s="71">
        <f t="shared" si="31"/>
        <v>14.107862015018721</v>
      </c>
      <c r="AB79" s="71">
        <v>0</v>
      </c>
      <c r="AC79" s="71">
        <f t="shared" si="56"/>
        <v>0.45777307246005861</v>
      </c>
      <c r="AD79" s="74">
        <f t="shared" si="67"/>
        <v>0.45777307246005861</v>
      </c>
      <c r="AE79" s="73">
        <f t="shared" si="76"/>
        <v>11.127272727272725</v>
      </c>
      <c r="AF79" s="71">
        <f t="shared" si="68"/>
        <v>12.57415406714451</v>
      </c>
      <c r="AG79" s="71">
        <f t="shared" si="57"/>
        <v>0.63243740201714727</v>
      </c>
      <c r="AH79" s="71">
        <f t="shared" si="58"/>
        <v>2.4927934175754984</v>
      </c>
      <c r="AI79" s="74">
        <f t="shared" si="69"/>
        <v>3.1252308195926455</v>
      </c>
      <c r="AJ79" s="73">
        <f t="shared" si="70"/>
        <v>2.88</v>
      </c>
      <c r="AK79" s="71">
        <f t="shared" si="59"/>
        <v>6.3970633989762291</v>
      </c>
      <c r="AL79" s="71">
        <f t="shared" si="60"/>
        <v>0.16368968052208521</v>
      </c>
      <c r="AM79" s="71">
        <f t="shared" si="71"/>
        <v>2.3804000000000003</v>
      </c>
      <c r="AN79" s="188">
        <f t="shared" si="61"/>
        <v>0.20304054375531011</v>
      </c>
      <c r="AO79" s="74">
        <f t="shared" si="72"/>
        <v>2.7471302242773956</v>
      </c>
      <c r="AP79" s="73">
        <f t="shared" si="62"/>
        <v>0.29854765595221211</v>
      </c>
      <c r="AQ79" s="206">
        <f t="shared" si="63"/>
        <v>0.45777307246005861</v>
      </c>
      <c r="AR79" s="206">
        <f t="shared" si="64"/>
        <v>3.0218089420955812</v>
      </c>
      <c r="AS79" s="71">
        <f t="shared" si="65"/>
        <v>0.16</v>
      </c>
      <c r="AT79" s="74">
        <f t="shared" si="66"/>
        <v>3.6299999999999995E-5</v>
      </c>
      <c r="AU79" s="73">
        <f t="shared" si="73"/>
        <v>10.268300086837952</v>
      </c>
      <c r="AV79" s="71">
        <f t="shared" si="74"/>
        <v>154.07999999999998</v>
      </c>
      <c r="AW79" s="74">
        <f t="shared" si="75"/>
        <v>93.75211055945671</v>
      </c>
    </row>
    <row r="80" spans="17:49" x14ac:dyDescent="0.25">
      <c r="Q80">
        <v>73</v>
      </c>
      <c r="R80" s="73">
        <f t="shared" si="49"/>
        <v>53.5</v>
      </c>
      <c r="S80" s="71">
        <f t="shared" si="50"/>
        <v>2.92</v>
      </c>
      <c r="T80" s="71">
        <f t="shared" si="51"/>
        <v>11</v>
      </c>
      <c r="U80" s="74">
        <f t="shared" si="52"/>
        <v>14.201818181818181</v>
      </c>
      <c r="V80" s="73">
        <f>IF(Variable_Management!$B$20=3,2,IF((S80*R80/T80)&lt;((T80*(1-(T80/R80)))/(2*Lm*Fsw)),1,2))</f>
        <v>2</v>
      </c>
      <c r="W80" s="71">
        <f t="shared" si="53"/>
        <v>0.79439252336448596</v>
      </c>
      <c r="X80" s="74">
        <f t="shared" si="54"/>
        <v>0.20560747663551404</v>
      </c>
      <c r="Y80" s="73">
        <f t="shared" si="55"/>
        <v>5.8255451713395638</v>
      </c>
      <c r="Z80" s="71">
        <f t="shared" ref="Z80:Z143" si="77">CHOOSE(V80,Y80,U80+(0.5*Y80))</f>
        <v>17.114590767487964</v>
      </c>
      <c r="AA80" s="71">
        <f t="shared" ref="AA80:AA143" si="78">CHOOSE(V80,Z80*SQRT((W80+X80)/3),SQRT((U80^2)+((Y80^2)/12)))</f>
        <v>14.301039159726516</v>
      </c>
      <c r="AB80" s="71">
        <v>0</v>
      </c>
      <c r="AC80" s="71">
        <f t="shared" si="56"/>
        <v>0.47039535841047198</v>
      </c>
      <c r="AD80" s="74">
        <f t="shared" si="67"/>
        <v>0.47039535841047198</v>
      </c>
      <c r="AE80" s="73">
        <f t="shared" si="76"/>
        <v>11.281818181818181</v>
      </c>
      <c r="AF80" s="71">
        <f t="shared" si="68"/>
        <v>12.746330345677785</v>
      </c>
      <c r="AG80" s="71">
        <f t="shared" si="57"/>
        <v>0.64987574912458546</v>
      </c>
      <c r="AH80" s="71">
        <f t="shared" si="58"/>
        <v>2.5274155483751581</v>
      </c>
      <c r="AI80" s="74">
        <f t="shared" si="69"/>
        <v>3.1772912974997434</v>
      </c>
      <c r="AJ80" s="73">
        <f t="shared" si="70"/>
        <v>2.9200000000000004</v>
      </c>
      <c r="AK80" s="71">
        <f t="shared" si="59"/>
        <v>6.4846575674344553</v>
      </c>
      <c r="AL80" s="71">
        <f t="shared" si="60"/>
        <v>0.16820313506753978</v>
      </c>
      <c r="AM80" s="71">
        <f t="shared" si="71"/>
        <v>2.3804000000000003</v>
      </c>
      <c r="AN80" s="188">
        <f t="shared" si="61"/>
        <v>0.20537508920985559</v>
      </c>
      <c r="AO80" s="74">
        <f t="shared" si="72"/>
        <v>2.7539782242773958</v>
      </c>
      <c r="AP80" s="73">
        <f t="shared" si="62"/>
        <v>0.30677958157204693</v>
      </c>
      <c r="AQ80" s="206">
        <f t="shared" si="63"/>
        <v>0.47039535841047198</v>
      </c>
      <c r="AR80" s="206">
        <f t="shared" si="64"/>
        <v>3.0218089420955812</v>
      </c>
      <c r="AS80" s="71">
        <f t="shared" si="65"/>
        <v>0.16</v>
      </c>
      <c r="AT80" s="74">
        <f t="shared" si="66"/>
        <v>3.6299999999999995E-5</v>
      </c>
      <c r="AU80" s="73">
        <f t="shared" si="73"/>
        <v>10.360685062265711</v>
      </c>
      <c r="AV80" s="71">
        <f t="shared" si="74"/>
        <v>156.22</v>
      </c>
      <c r="AW80" s="74">
        <f t="shared" si="75"/>
        <v>93.780380325370245</v>
      </c>
    </row>
    <row r="81" spans="17:49" x14ac:dyDescent="0.25">
      <c r="Q81">
        <v>74</v>
      </c>
      <c r="R81" s="73">
        <f t="shared" si="49"/>
        <v>53.5</v>
      </c>
      <c r="S81" s="71">
        <f t="shared" si="50"/>
        <v>2.96</v>
      </c>
      <c r="T81" s="71">
        <f t="shared" si="51"/>
        <v>11</v>
      </c>
      <c r="U81" s="74">
        <f t="shared" si="52"/>
        <v>14.396363636363635</v>
      </c>
      <c r="V81" s="73">
        <f>IF(Variable_Management!$B$20=3,2,IF((S81*R81/T81)&lt;((T81*(1-(T81/R81)))/(2*Lm*Fsw)),1,2))</f>
        <v>2</v>
      </c>
      <c r="W81" s="71">
        <f t="shared" si="53"/>
        <v>0.79439252336448596</v>
      </c>
      <c r="X81" s="74">
        <f t="shared" si="54"/>
        <v>0.20560747663551404</v>
      </c>
      <c r="Y81" s="73">
        <f t="shared" si="55"/>
        <v>5.8255451713395638</v>
      </c>
      <c r="Z81" s="71">
        <f t="shared" si="77"/>
        <v>17.309136222033416</v>
      </c>
      <c r="AA81" s="71">
        <f t="shared" si="78"/>
        <v>14.494252906894614</v>
      </c>
      <c r="AB81" s="71">
        <v>0</v>
      </c>
      <c r="AC81" s="71">
        <f t="shared" si="56"/>
        <v>0.48319174485675281</v>
      </c>
      <c r="AD81" s="74">
        <f t="shared" si="67"/>
        <v>0.48319174485675281</v>
      </c>
      <c r="AE81" s="73">
        <f t="shared" si="76"/>
        <v>11.436363636363634</v>
      </c>
      <c r="AF81" s="71">
        <f t="shared" si="68"/>
        <v>12.918539247508241</v>
      </c>
      <c r="AG81" s="71">
        <f t="shared" si="57"/>
        <v>0.66755462515764319</v>
      </c>
      <c r="AH81" s="71">
        <f t="shared" si="58"/>
        <v>2.5620376791748178</v>
      </c>
      <c r="AI81" s="74">
        <f t="shared" si="69"/>
        <v>3.2295923043324608</v>
      </c>
      <c r="AJ81" s="73">
        <f t="shared" si="70"/>
        <v>2.96</v>
      </c>
      <c r="AK81" s="71">
        <f t="shared" si="59"/>
        <v>6.5722683328978739</v>
      </c>
      <c r="AL81" s="71">
        <f t="shared" si="60"/>
        <v>0.1727788441584488</v>
      </c>
      <c r="AM81" s="71">
        <f t="shared" si="71"/>
        <v>2.3804000000000003</v>
      </c>
      <c r="AN81" s="188">
        <f t="shared" si="61"/>
        <v>0.20770963466440101</v>
      </c>
      <c r="AO81" s="74">
        <f t="shared" si="72"/>
        <v>2.7608884788228498</v>
      </c>
      <c r="AP81" s="73">
        <f t="shared" si="62"/>
        <v>0.31512505099353444</v>
      </c>
      <c r="AQ81" s="206">
        <f t="shared" si="63"/>
        <v>0.48319174485675281</v>
      </c>
      <c r="AR81" s="206">
        <f t="shared" si="64"/>
        <v>3.0218089420955812</v>
      </c>
      <c r="AS81" s="71">
        <f t="shared" si="65"/>
        <v>0.16</v>
      </c>
      <c r="AT81" s="74">
        <f t="shared" si="66"/>
        <v>3.6299999999999995E-5</v>
      </c>
      <c r="AU81" s="73">
        <f t="shared" si="73"/>
        <v>10.453834565957932</v>
      </c>
      <c r="AV81" s="71">
        <f t="shared" si="74"/>
        <v>158.35999999999999</v>
      </c>
      <c r="AW81" s="74">
        <f t="shared" si="75"/>
        <v>93.80747757265506</v>
      </c>
    </row>
    <row r="82" spans="17:49" x14ac:dyDescent="0.25">
      <c r="Q82">
        <v>75</v>
      </c>
      <c r="R82" s="73">
        <f t="shared" si="49"/>
        <v>53.5</v>
      </c>
      <c r="S82" s="71">
        <f t="shared" si="50"/>
        <v>3</v>
      </c>
      <c r="T82" s="71">
        <f t="shared" si="51"/>
        <v>11</v>
      </c>
      <c r="U82" s="74">
        <f t="shared" si="52"/>
        <v>14.590909090909092</v>
      </c>
      <c r="V82" s="73">
        <f>IF(Variable_Management!$B$20=3,2,IF((S82*R82/T82)&lt;((T82*(1-(T82/R82)))/(2*Lm*Fsw)),1,2))</f>
        <v>2</v>
      </c>
      <c r="W82" s="71">
        <f t="shared" si="53"/>
        <v>0.79439252336448596</v>
      </c>
      <c r="X82" s="74">
        <f t="shared" si="54"/>
        <v>0.20560747663551404</v>
      </c>
      <c r="Y82" s="73">
        <f t="shared" si="55"/>
        <v>5.8255451713395638</v>
      </c>
      <c r="Z82" s="71">
        <f t="shared" si="77"/>
        <v>17.503681676578875</v>
      </c>
      <c r="AA82" s="71">
        <f t="shared" si="78"/>
        <v>14.687501812009534</v>
      </c>
      <c r="AB82" s="71">
        <v>0</v>
      </c>
      <c r="AC82" s="71">
        <f t="shared" si="56"/>
        <v>0.49616223179890173</v>
      </c>
      <c r="AD82" s="74">
        <f t="shared" si="67"/>
        <v>0.49616223179890173</v>
      </c>
      <c r="AE82" s="73">
        <f t="shared" si="76"/>
        <v>11.590909090909092</v>
      </c>
      <c r="AF82" s="71">
        <f t="shared" si="68"/>
        <v>13.090779485159784</v>
      </c>
      <c r="AG82" s="71">
        <f t="shared" si="57"/>
        <v>0.68547403011632102</v>
      </c>
      <c r="AH82" s="71">
        <f t="shared" si="58"/>
        <v>2.5966598099744775</v>
      </c>
      <c r="AI82" s="74">
        <f t="shared" si="69"/>
        <v>3.2821338400907987</v>
      </c>
      <c r="AJ82" s="73">
        <f t="shared" si="70"/>
        <v>3.0000000000000004</v>
      </c>
      <c r="AK82" s="71">
        <f t="shared" si="59"/>
        <v>6.6598950403668624</v>
      </c>
      <c r="AL82" s="71">
        <f t="shared" si="60"/>
        <v>0.17741680779481256</v>
      </c>
      <c r="AM82" s="71">
        <f t="shared" si="71"/>
        <v>2.3804000000000003</v>
      </c>
      <c r="AN82" s="188">
        <f t="shared" si="61"/>
        <v>0.21004418011894652</v>
      </c>
      <c r="AO82" s="74">
        <f t="shared" si="72"/>
        <v>2.767860987913759</v>
      </c>
      <c r="AP82" s="73">
        <f t="shared" si="62"/>
        <v>0.32358406421667502</v>
      </c>
      <c r="AQ82" s="206">
        <f t="shared" si="63"/>
        <v>0.49616223179890173</v>
      </c>
      <c r="AR82" s="206">
        <f t="shared" si="64"/>
        <v>3.0218089420955812</v>
      </c>
      <c r="AS82" s="71">
        <f t="shared" si="65"/>
        <v>0.16</v>
      </c>
      <c r="AT82" s="74">
        <f t="shared" si="66"/>
        <v>3.6299999999999995E-5</v>
      </c>
      <c r="AU82" s="73">
        <f t="shared" si="73"/>
        <v>10.547748597914616</v>
      </c>
      <c r="AV82" s="71">
        <f t="shared" si="74"/>
        <v>160.5</v>
      </c>
      <c r="AW82" s="74">
        <f t="shared" si="75"/>
        <v>93.833447862146713</v>
      </c>
    </row>
    <row r="83" spans="17:49" x14ac:dyDescent="0.25">
      <c r="Q83">
        <v>76</v>
      </c>
      <c r="R83" s="73">
        <f t="shared" si="49"/>
        <v>53.5</v>
      </c>
      <c r="S83" s="71">
        <f t="shared" si="50"/>
        <v>3.04</v>
      </c>
      <c r="T83" s="71">
        <f t="shared" si="51"/>
        <v>11</v>
      </c>
      <c r="U83" s="74">
        <f t="shared" si="52"/>
        <v>14.785454545454547</v>
      </c>
      <c r="V83" s="73">
        <f>IF(Variable_Management!$B$20=3,2,IF((S83*R83/T83)&lt;((T83*(1-(T83/R83)))/(2*Lm*Fsw)),1,2))</f>
        <v>2</v>
      </c>
      <c r="W83" s="71">
        <f t="shared" si="53"/>
        <v>0.79439252336448596</v>
      </c>
      <c r="X83" s="74">
        <f t="shared" si="54"/>
        <v>0.20560747663551404</v>
      </c>
      <c r="Y83" s="73">
        <f t="shared" si="55"/>
        <v>5.8255451713395638</v>
      </c>
      <c r="Z83" s="71">
        <f t="shared" si="77"/>
        <v>17.69822713112433</v>
      </c>
      <c r="AA83" s="71">
        <f t="shared" si="78"/>
        <v>14.880784505338163</v>
      </c>
      <c r="AB83" s="71">
        <v>0</v>
      </c>
      <c r="AC83" s="71">
        <f t="shared" si="56"/>
        <v>0.50930681923691834</v>
      </c>
      <c r="AD83" s="74">
        <f t="shared" si="67"/>
        <v>0.50930681923691834</v>
      </c>
      <c r="AE83" s="73">
        <f t="shared" si="76"/>
        <v>11.745454545454546</v>
      </c>
      <c r="AF83" s="71">
        <f t="shared" si="68"/>
        <v>13.26304983780709</v>
      </c>
      <c r="AG83" s="71">
        <f t="shared" si="57"/>
        <v>0.70363396400061873</v>
      </c>
      <c r="AH83" s="71">
        <f t="shared" si="58"/>
        <v>2.6312819407741377</v>
      </c>
      <c r="AI83" s="74">
        <f t="shared" si="69"/>
        <v>3.3349159047747565</v>
      </c>
      <c r="AJ83" s="73">
        <f t="shared" si="70"/>
        <v>3.0400000000000005</v>
      </c>
      <c r="AK83" s="71">
        <f t="shared" si="59"/>
        <v>6.7475370687501739</v>
      </c>
      <c r="AL83" s="71">
        <f t="shared" si="60"/>
        <v>0.18211702597663074</v>
      </c>
      <c r="AM83" s="71">
        <f t="shared" si="71"/>
        <v>2.3804000000000003</v>
      </c>
      <c r="AN83" s="188">
        <f t="shared" si="61"/>
        <v>0.21237872557349197</v>
      </c>
      <c r="AO83" s="74">
        <f t="shared" si="72"/>
        <v>2.7748957515501234</v>
      </c>
      <c r="AP83" s="73">
        <f t="shared" si="62"/>
        <v>0.3321566212414685</v>
      </c>
      <c r="AQ83" s="206">
        <f t="shared" si="63"/>
        <v>0.50930681923691834</v>
      </c>
      <c r="AR83" s="206">
        <f t="shared" si="64"/>
        <v>3.0218089420955812</v>
      </c>
      <c r="AS83" s="71">
        <f t="shared" si="65"/>
        <v>0.16</v>
      </c>
      <c r="AT83" s="74">
        <f t="shared" si="66"/>
        <v>3.6299999999999995E-5</v>
      </c>
      <c r="AU83" s="73">
        <f t="shared" si="73"/>
        <v>10.642427158135767</v>
      </c>
      <c r="AV83" s="71">
        <f t="shared" si="74"/>
        <v>162.64000000000001</v>
      </c>
      <c r="AW83" s="74">
        <f t="shared" si="75"/>
        <v>93.858334435479946</v>
      </c>
    </row>
    <row r="84" spans="17:49" x14ac:dyDescent="0.25">
      <c r="Q84">
        <v>77</v>
      </c>
      <c r="R84" s="73">
        <f t="shared" si="49"/>
        <v>53.5</v>
      </c>
      <c r="S84" s="71">
        <f t="shared" si="50"/>
        <v>3.08</v>
      </c>
      <c r="T84" s="71">
        <f t="shared" si="51"/>
        <v>11</v>
      </c>
      <c r="U84" s="74">
        <f t="shared" si="52"/>
        <v>14.98</v>
      </c>
      <c r="V84" s="73">
        <f>IF(Variable_Management!$B$20=3,2,IF((S84*R84/T84)&lt;((T84*(1-(T84/R84)))/(2*Lm*Fsw)),1,2))</f>
        <v>2</v>
      </c>
      <c r="W84" s="71">
        <f t="shared" si="53"/>
        <v>0.79439252336448596</v>
      </c>
      <c r="X84" s="74">
        <f t="shared" si="54"/>
        <v>0.20560747663551404</v>
      </c>
      <c r="Y84" s="73">
        <f t="shared" si="55"/>
        <v>5.8255451713395638</v>
      </c>
      <c r="Z84" s="71">
        <f t="shared" si="77"/>
        <v>17.892772585669782</v>
      </c>
      <c r="AA84" s="71">
        <f t="shared" si="78"/>
        <v>15.074099687165726</v>
      </c>
      <c r="AB84" s="71">
        <v>0</v>
      </c>
      <c r="AC84" s="71">
        <f t="shared" si="56"/>
        <v>0.52262550717080258</v>
      </c>
      <c r="AD84" s="74">
        <f t="shared" si="67"/>
        <v>0.52262550717080258</v>
      </c>
      <c r="AE84" s="73">
        <f t="shared" si="76"/>
        <v>11.9</v>
      </c>
      <c r="AF84" s="71">
        <f t="shared" si="68"/>
        <v>13.435349147031271</v>
      </c>
      <c r="AG84" s="71">
        <f t="shared" si="57"/>
        <v>0.72203442681053565</v>
      </c>
      <c r="AH84" s="71">
        <f t="shared" si="58"/>
        <v>2.6659040715737974</v>
      </c>
      <c r="AI84" s="74">
        <f t="shared" si="69"/>
        <v>3.387938498384333</v>
      </c>
      <c r="AJ84" s="73">
        <f t="shared" si="70"/>
        <v>3.0800000000000005</v>
      </c>
      <c r="AK84" s="71">
        <f t="shared" si="59"/>
        <v>6.8351938287056537</v>
      </c>
      <c r="AL84" s="71">
        <f t="shared" si="60"/>
        <v>0.18687949870390341</v>
      </c>
      <c r="AM84" s="71">
        <f t="shared" si="71"/>
        <v>2.3804000000000003</v>
      </c>
      <c r="AN84" s="188">
        <f t="shared" si="61"/>
        <v>0.21471327102803739</v>
      </c>
      <c r="AO84" s="74">
        <f t="shared" si="72"/>
        <v>2.7819927697319411</v>
      </c>
      <c r="AP84" s="73">
        <f t="shared" si="62"/>
        <v>0.34084272206791472</v>
      </c>
      <c r="AQ84" s="206">
        <f t="shared" si="63"/>
        <v>0.52262550717080258</v>
      </c>
      <c r="AR84" s="206">
        <f t="shared" si="64"/>
        <v>3.0218089420955812</v>
      </c>
      <c r="AS84" s="71">
        <f t="shared" si="65"/>
        <v>0.16</v>
      </c>
      <c r="AT84" s="74">
        <f t="shared" si="66"/>
        <v>3.6299999999999995E-5</v>
      </c>
      <c r="AU84" s="73">
        <f t="shared" si="73"/>
        <v>10.737870246621377</v>
      </c>
      <c r="AV84" s="71">
        <f t="shared" si="74"/>
        <v>164.78</v>
      </c>
      <c r="AW84" s="74">
        <f t="shared" si="75"/>
        <v>93.882178360793958</v>
      </c>
    </row>
    <row r="85" spans="17:49" x14ac:dyDescent="0.25">
      <c r="Q85">
        <v>78</v>
      </c>
      <c r="R85" s="73">
        <f t="shared" si="49"/>
        <v>53.5</v>
      </c>
      <c r="S85" s="71">
        <f t="shared" si="50"/>
        <v>3.12</v>
      </c>
      <c r="T85" s="71">
        <f t="shared" si="51"/>
        <v>11</v>
      </c>
      <c r="U85" s="74">
        <f t="shared" si="52"/>
        <v>15.174545454545456</v>
      </c>
      <c r="V85" s="73">
        <f>IF(Variable_Management!$B$20=3,2,IF((S85*R85/T85)&lt;((T85*(1-(T85/R85)))/(2*Lm*Fsw)),1,2))</f>
        <v>2</v>
      </c>
      <c r="W85" s="71">
        <f t="shared" si="53"/>
        <v>0.79439252336448596</v>
      </c>
      <c r="X85" s="74">
        <f t="shared" si="54"/>
        <v>0.20560747663551404</v>
      </c>
      <c r="Y85" s="73">
        <f t="shared" si="55"/>
        <v>5.8255451713395638</v>
      </c>
      <c r="Z85" s="71">
        <f t="shared" si="77"/>
        <v>18.087318040215237</v>
      </c>
      <c r="AA85" s="71">
        <f t="shared" si="78"/>
        <v>15.267446123391952</v>
      </c>
      <c r="AB85" s="71">
        <v>0</v>
      </c>
      <c r="AC85" s="71">
        <f t="shared" si="56"/>
        <v>0.53611829560055468</v>
      </c>
      <c r="AD85" s="74">
        <f t="shared" si="67"/>
        <v>0.53611829560055468</v>
      </c>
      <c r="AE85" s="73">
        <f t="shared" si="76"/>
        <v>12.054545454545455</v>
      </c>
      <c r="AF85" s="71">
        <f t="shared" si="68"/>
        <v>13.607676312894801</v>
      </c>
      <c r="AG85" s="71">
        <f t="shared" si="57"/>
        <v>0.74067541854607311</v>
      </c>
      <c r="AH85" s="71">
        <f t="shared" si="58"/>
        <v>2.7005262023734571</v>
      </c>
      <c r="AI85" s="74">
        <f t="shared" si="69"/>
        <v>3.4412016209195304</v>
      </c>
      <c r="AJ85" s="73">
        <f t="shared" si="70"/>
        <v>3.1200000000000006</v>
      </c>
      <c r="AK85" s="71">
        <f t="shared" si="59"/>
        <v>6.9228647606433622</v>
      </c>
      <c r="AL85" s="71">
        <f t="shared" si="60"/>
        <v>0.19170422597663073</v>
      </c>
      <c r="AM85" s="71">
        <f t="shared" si="71"/>
        <v>2.3804000000000003</v>
      </c>
      <c r="AN85" s="188">
        <f t="shared" si="61"/>
        <v>0.21704781648258284</v>
      </c>
      <c r="AO85" s="74">
        <f t="shared" si="72"/>
        <v>2.789152042459214</v>
      </c>
      <c r="AP85" s="73">
        <f t="shared" si="62"/>
        <v>0.3496423666960139</v>
      </c>
      <c r="AQ85" s="206">
        <f t="shared" si="63"/>
        <v>0.53611829560055468</v>
      </c>
      <c r="AR85" s="206">
        <f t="shared" si="64"/>
        <v>3.0218089420955812</v>
      </c>
      <c r="AS85" s="71">
        <f t="shared" si="65"/>
        <v>0.16</v>
      </c>
      <c r="AT85" s="74">
        <f t="shared" si="66"/>
        <v>3.6299999999999995E-5</v>
      </c>
      <c r="AU85" s="73">
        <f t="shared" si="73"/>
        <v>10.834077863371448</v>
      </c>
      <c r="AV85" s="71">
        <f t="shared" si="74"/>
        <v>166.92000000000002</v>
      </c>
      <c r="AW85" s="74">
        <f t="shared" si="75"/>
        <v>93.905018667589204</v>
      </c>
    </row>
    <row r="86" spans="17:49" x14ac:dyDescent="0.25">
      <c r="Q86">
        <v>79</v>
      </c>
      <c r="R86" s="73">
        <f t="shared" si="49"/>
        <v>53.5</v>
      </c>
      <c r="S86" s="71">
        <f t="shared" si="50"/>
        <v>3.16</v>
      </c>
      <c r="T86" s="71">
        <f t="shared" si="51"/>
        <v>11</v>
      </c>
      <c r="U86" s="74">
        <f t="shared" si="52"/>
        <v>15.369090909090909</v>
      </c>
      <c r="V86" s="73">
        <f>IF(Variable_Management!$B$20=3,2,IF((S86*R86/T86)&lt;((T86*(1-(T86/R86)))/(2*Lm*Fsw)),1,2))</f>
        <v>2</v>
      </c>
      <c r="W86" s="71">
        <f t="shared" si="53"/>
        <v>0.79439252336448596</v>
      </c>
      <c r="X86" s="74">
        <f t="shared" si="54"/>
        <v>0.20560747663551404</v>
      </c>
      <c r="Y86" s="73">
        <f t="shared" si="55"/>
        <v>5.8255451713395638</v>
      </c>
      <c r="Z86" s="71">
        <f t="shared" si="77"/>
        <v>18.281863494760692</v>
      </c>
      <c r="AA86" s="71">
        <f t="shared" si="78"/>
        <v>15.460822641454453</v>
      </c>
      <c r="AB86" s="71">
        <v>0</v>
      </c>
      <c r="AC86" s="71">
        <f t="shared" si="56"/>
        <v>0.54978518452617442</v>
      </c>
      <c r="AD86" s="74">
        <f t="shared" si="67"/>
        <v>0.54978518452617442</v>
      </c>
      <c r="AE86" s="73">
        <f t="shared" si="76"/>
        <v>12.209090909090909</v>
      </c>
      <c r="AF86" s="71">
        <f t="shared" si="68"/>
        <v>13.780030290308057</v>
      </c>
      <c r="AG86" s="71">
        <f t="shared" si="57"/>
        <v>0.75955693920723011</v>
      </c>
      <c r="AH86" s="71">
        <f t="shared" si="58"/>
        <v>2.7351483331731163</v>
      </c>
      <c r="AI86" s="74">
        <f t="shared" si="69"/>
        <v>3.4947052723803465</v>
      </c>
      <c r="AJ86" s="73">
        <f t="shared" si="70"/>
        <v>3.16</v>
      </c>
      <c r="AK86" s="71">
        <f t="shared" si="59"/>
        <v>7.0105493328770709</v>
      </c>
      <c r="AL86" s="71">
        <f t="shared" si="60"/>
        <v>0.19659120779481259</v>
      </c>
      <c r="AM86" s="71">
        <f t="shared" si="71"/>
        <v>2.3804000000000003</v>
      </c>
      <c r="AN86" s="188">
        <f t="shared" si="61"/>
        <v>0.21938236193712832</v>
      </c>
      <c r="AO86" s="74">
        <f t="shared" si="72"/>
        <v>2.7963735697319412</v>
      </c>
      <c r="AP86" s="73">
        <f t="shared" si="62"/>
        <v>0.35855555512576592</v>
      </c>
      <c r="AQ86" s="206">
        <f t="shared" si="63"/>
        <v>0.54978518452617442</v>
      </c>
      <c r="AR86" s="206">
        <f t="shared" si="64"/>
        <v>3.0218089420955812</v>
      </c>
      <c r="AS86" s="71">
        <f t="shared" si="65"/>
        <v>0.16</v>
      </c>
      <c r="AT86" s="74">
        <f t="shared" si="66"/>
        <v>3.6299999999999995E-5</v>
      </c>
      <c r="AU86" s="73">
        <f t="shared" si="73"/>
        <v>10.931050008385984</v>
      </c>
      <c r="AV86" s="71">
        <f t="shared" si="74"/>
        <v>169.06</v>
      </c>
      <c r="AW86" s="74">
        <f t="shared" si="75"/>
        <v>93.926892471666392</v>
      </c>
    </row>
    <row r="87" spans="17:49" x14ac:dyDescent="0.25">
      <c r="Q87">
        <v>80</v>
      </c>
      <c r="R87" s="73">
        <f t="shared" si="49"/>
        <v>53.5</v>
      </c>
      <c r="S87" s="71">
        <f t="shared" si="50"/>
        <v>3.2</v>
      </c>
      <c r="T87" s="71">
        <f t="shared" si="51"/>
        <v>11</v>
      </c>
      <c r="U87" s="74">
        <f t="shared" si="52"/>
        <v>15.563636363636364</v>
      </c>
      <c r="V87" s="73">
        <f>IF(Variable_Management!$B$20=3,2,IF((S87*R87/T87)&lt;((T87*(1-(T87/R87)))/(2*Lm*Fsw)),1,2))</f>
        <v>2</v>
      </c>
      <c r="W87" s="71">
        <f t="shared" si="53"/>
        <v>0.79439252336448596</v>
      </c>
      <c r="X87" s="74">
        <f t="shared" si="54"/>
        <v>0.20560747663551404</v>
      </c>
      <c r="Y87" s="73">
        <f t="shared" si="55"/>
        <v>5.8255451713395638</v>
      </c>
      <c r="Z87" s="71">
        <f t="shared" si="77"/>
        <v>18.476408949306148</v>
      </c>
      <c r="AA87" s="71">
        <f t="shared" si="78"/>
        <v>15.654228126551432</v>
      </c>
      <c r="AB87" s="71">
        <v>0</v>
      </c>
      <c r="AC87" s="71">
        <f t="shared" si="56"/>
        <v>0.56362617394766212</v>
      </c>
      <c r="AD87" s="74">
        <f t="shared" si="67"/>
        <v>0.56362617394766212</v>
      </c>
      <c r="AE87" s="73">
        <f t="shared" si="76"/>
        <v>12.363636363636363</v>
      </c>
      <c r="AF87" s="71">
        <f t="shared" si="68"/>
        <v>13.952410085662684</v>
      </c>
      <c r="AG87" s="71">
        <f t="shared" si="57"/>
        <v>0.77867898879400721</v>
      </c>
      <c r="AH87" s="71">
        <f t="shared" si="58"/>
        <v>2.7697704639727765</v>
      </c>
      <c r="AI87" s="74">
        <f t="shared" si="69"/>
        <v>3.5484494527667838</v>
      </c>
      <c r="AJ87" s="73">
        <f t="shared" si="70"/>
        <v>3.2000000000000006</v>
      </c>
      <c r="AK87" s="71">
        <f t="shared" si="59"/>
        <v>7.0982470399114908</v>
      </c>
      <c r="AL87" s="71">
        <f t="shared" si="60"/>
        <v>0.20154044415844896</v>
      </c>
      <c r="AM87" s="71">
        <f t="shared" si="71"/>
        <v>2.3804000000000003</v>
      </c>
      <c r="AN87" s="188">
        <f t="shared" si="61"/>
        <v>0.22171690739167377</v>
      </c>
      <c r="AO87" s="74">
        <f t="shared" si="72"/>
        <v>2.8036573515501226</v>
      </c>
      <c r="AP87" s="73">
        <f t="shared" si="62"/>
        <v>0.36758228735717091</v>
      </c>
      <c r="AQ87" s="206">
        <f t="shared" si="63"/>
        <v>0.56362617394766212</v>
      </c>
      <c r="AR87" s="206">
        <f t="shared" si="64"/>
        <v>3.0218089420955812</v>
      </c>
      <c r="AS87" s="71">
        <f t="shared" si="65"/>
        <v>0.16</v>
      </c>
      <c r="AT87" s="74">
        <f t="shared" si="66"/>
        <v>3.6299999999999995E-5</v>
      </c>
      <c r="AU87" s="73">
        <f t="shared" si="73"/>
        <v>11.028786681664982</v>
      </c>
      <c r="AV87" s="71">
        <f t="shared" si="74"/>
        <v>171.20000000000002</v>
      </c>
      <c r="AW87" s="74">
        <f t="shared" si="75"/>
        <v>93.94783509098859</v>
      </c>
    </row>
    <row r="88" spans="17:49" x14ac:dyDescent="0.25">
      <c r="Q88">
        <v>81</v>
      </c>
      <c r="R88" s="73">
        <f t="shared" si="49"/>
        <v>53.5</v>
      </c>
      <c r="S88" s="71">
        <f t="shared" si="50"/>
        <v>3.24</v>
      </c>
      <c r="T88" s="71">
        <f t="shared" si="51"/>
        <v>11</v>
      </c>
      <c r="U88" s="74">
        <f t="shared" si="52"/>
        <v>15.758181818181818</v>
      </c>
      <c r="V88" s="73">
        <f>IF(Variable_Management!$B$20=3,2,IF((S88*R88/T88)&lt;((T88*(1-(T88/R88)))/(2*Lm*Fsw)),1,2))</f>
        <v>2</v>
      </c>
      <c r="W88" s="71">
        <f t="shared" si="53"/>
        <v>0.79439252336448596</v>
      </c>
      <c r="X88" s="74">
        <f t="shared" si="54"/>
        <v>0.20560747663551404</v>
      </c>
      <c r="Y88" s="73">
        <f t="shared" si="55"/>
        <v>5.8255451713395638</v>
      </c>
      <c r="Z88" s="71">
        <f t="shared" si="77"/>
        <v>18.670954403851599</v>
      </c>
      <c r="AA88" s="71">
        <f t="shared" si="78"/>
        <v>15.847661518138436</v>
      </c>
      <c r="AB88" s="71">
        <v>0</v>
      </c>
      <c r="AC88" s="71">
        <f t="shared" si="56"/>
        <v>0.57764126386501746</v>
      </c>
      <c r="AD88" s="74">
        <f t="shared" si="67"/>
        <v>0.57764126386501746</v>
      </c>
      <c r="AE88" s="73">
        <f t="shared" si="76"/>
        <v>12.518181818181818</v>
      </c>
      <c r="AF88" s="71">
        <f t="shared" si="68"/>
        <v>14.124814753709193</v>
      </c>
      <c r="AG88" s="71">
        <f t="shared" si="57"/>
        <v>0.79804156730640363</v>
      </c>
      <c r="AH88" s="71">
        <f t="shared" si="58"/>
        <v>2.8043925947724357</v>
      </c>
      <c r="AI88" s="74">
        <f t="shared" si="69"/>
        <v>3.6024341620788394</v>
      </c>
      <c r="AJ88" s="73">
        <f t="shared" si="70"/>
        <v>3.24</v>
      </c>
      <c r="AK88" s="71">
        <f t="shared" si="59"/>
        <v>7.185957400853761</v>
      </c>
      <c r="AL88" s="71">
        <f t="shared" si="60"/>
        <v>0.20655193506753977</v>
      </c>
      <c r="AM88" s="71">
        <f t="shared" si="71"/>
        <v>2.3804000000000003</v>
      </c>
      <c r="AN88" s="188">
        <f t="shared" si="61"/>
        <v>0.22405145284621919</v>
      </c>
      <c r="AO88" s="74">
        <f t="shared" si="72"/>
        <v>2.8110033879137593</v>
      </c>
      <c r="AP88" s="73">
        <f t="shared" si="62"/>
        <v>0.37672256339022875</v>
      </c>
      <c r="AQ88" s="206">
        <f t="shared" si="63"/>
        <v>0.57764126386501746</v>
      </c>
      <c r="AR88" s="206">
        <f t="shared" si="64"/>
        <v>3.0218089420955812</v>
      </c>
      <c r="AS88" s="71">
        <f t="shared" si="65"/>
        <v>0.16</v>
      </c>
      <c r="AT88" s="74">
        <f t="shared" si="66"/>
        <v>3.6299999999999995E-5</v>
      </c>
      <c r="AU88" s="73">
        <f t="shared" si="73"/>
        <v>11.127287883208442</v>
      </c>
      <c r="AV88" s="71">
        <f t="shared" si="74"/>
        <v>173.34</v>
      </c>
      <c r="AW88" s="74">
        <f t="shared" si="75"/>
        <v>93.967880153226162</v>
      </c>
    </row>
    <row r="89" spans="17:49" x14ac:dyDescent="0.25">
      <c r="Q89">
        <v>82</v>
      </c>
      <c r="R89" s="73">
        <f t="shared" si="49"/>
        <v>53.5</v>
      </c>
      <c r="S89" s="71">
        <f t="shared" si="50"/>
        <v>3.2800000000000002</v>
      </c>
      <c r="T89" s="71">
        <f t="shared" si="51"/>
        <v>11</v>
      </c>
      <c r="U89" s="74">
        <f t="shared" si="52"/>
        <v>15.952727272727275</v>
      </c>
      <c r="V89" s="73">
        <f>IF(Variable_Management!$B$20=3,2,IF((S89*R89/T89)&lt;((T89*(1-(T89/R89)))/(2*Lm*Fsw)),1,2))</f>
        <v>2</v>
      </c>
      <c r="W89" s="71">
        <f t="shared" si="53"/>
        <v>0.79439252336448596</v>
      </c>
      <c r="X89" s="74">
        <f t="shared" si="54"/>
        <v>0.20560747663551404</v>
      </c>
      <c r="Y89" s="73">
        <f t="shared" si="55"/>
        <v>5.8255451713395638</v>
      </c>
      <c r="Z89" s="71">
        <f t="shared" si="77"/>
        <v>18.865499858397058</v>
      </c>
      <c r="AA89" s="71">
        <f t="shared" si="78"/>
        <v>16.041121806676315</v>
      </c>
      <c r="AB89" s="71">
        <v>0</v>
      </c>
      <c r="AC89" s="71">
        <f t="shared" si="56"/>
        <v>0.59183045427824077</v>
      </c>
      <c r="AD89" s="74">
        <f t="shared" si="67"/>
        <v>0.59183045427824077</v>
      </c>
      <c r="AE89" s="73">
        <f t="shared" si="76"/>
        <v>12.672727272727274</v>
      </c>
      <c r="AF89" s="71">
        <f t="shared" si="68"/>
        <v>14.297243394658464</v>
      </c>
      <c r="AG89" s="71">
        <f t="shared" si="57"/>
        <v>0.81764467474442026</v>
      </c>
      <c r="AH89" s="71">
        <f t="shared" si="58"/>
        <v>2.8390147255720959</v>
      </c>
      <c r="AI89" s="74">
        <f t="shared" si="69"/>
        <v>3.6566594003165163</v>
      </c>
      <c r="AJ89" s="73">
        <f t="shared" si="70"/>
        <v>3.2800000000000007</v>
      </c>
      <c r="AK89" s="71">
        <f t="shared" si="59"/>
        <v>7.2736799579388514</v>
      </c>
      <c r="AL89" s="71">
        <f t="shared" si="60"/>
        <v>0.21162568052208533</v>
      </c>
      <c r="AM89" s="71">
        <f t="shared" si="71"/>
        <v>2.3804000000000003</v>
      </c>
      <c r="AN89" s="188">
        <f t="shared" si="61"/>
        <v>0.2263859983007647</v>
      </c>
      <c r="AO89" s="74">
        <f t="shared" si="72"/>
        <v>2.8184116788228506</v>
      </c>
      <c r="AP89" s="73">
        <f t="shared" si="62"/>
        <v>0.38597638322493966</v>
      </c>
      <c r="AQ89" s="206">
        <f t="shared" si="63"/>
        <v>0.59183045427824077</v>
      </c>
      <c r="AR89" s="206">
        <f t="shared" si="64"/>
        <v>3.0218089420955812</v>
      </c>
      <c r="AS89" s="71">
        <f t="shared" si="65"/>
        <v>0.16</v>
      </c>
      <c r="AT89" s="74">
        <f t="shared" si="66"/>
        <v>3.6299999999999995E-5</v>
      </c>
      <c r="AU89" s="73">
        <f t="shared" si="73"/>
        <v>11.226553613016367</v>
      </c>
      <c r="AV89" s="71">
        <f t="shared" si="74"/>
        <v>175.48000000000002</v>
      </c>
      <c r="AW89" s="74">
        <f t="shared" si="75"/>
        <v>93.987059695673324</v>
      </c>
    </row>
    <row r="90" spans="17:49" x14ac:dyDescent="0.25">
      <c r="Q90">
        <v>83</v>
      </c>
      <c r="R90" s="73">
        <f t="shared" si="49"/>
        <v>53.5</v>
      </c>
      <c r="S90" s="71">
        <f t="shared" si="50"/>
        <v>3.3200000000000003</v>
      </c>
      <c r="T90" s="71">
        <f t="shared" si="51"/>
        <v>11</v>
      </c>
      <c r="U90" s="74">
        <f t="shared" si="52"/>
        <v>16.147272727272728</v>
      </c>
      <c r="V90" s="73">
        <f>IF(Variable_Management!$B$20=3,2,IF((S90*R90/T90)&lt;((T90*(1-(T90/R90)))/(2*Lm*Fsw)),1,2))</f>
        <v>2</v>
      </c>
      <c r="W90" s="71">
        <f t="shared" si="53"/>
        <v>0.79439252336448596</v>
      </c>
      <c r="X90" s="74">
        <f t="shared" si="54"/>
        <v>0.20560747663551404</v>
      </c>
      <c r="Y90" s="73">
        <f t="shared" si="55"/>
        <v>5.8255451713395638</v>
      </c>
      <c r="Z90" s="71">
        <f t="shared" si="77"/>
        <v>19.06004531294251</v>
      </c>
      <c r="AA90" s="71">
        <f t="shared" si="78"/>
        <v>16.234608030609653</v>
      </c>
      <c r="AB90" s="71">
        <v>0</v>
      </c>
      <c r="AC90" s="71">
        <f t="shared" si="56"/>
        <v>0.60619374518733149</v>
      </c>
      <c r="AD90" s="74">
        <f t="shared" si="67"/>
        <v>0.60619374518733149</v>
      </c>
      <c r="AE90" s="73">
        <f t="shared" si="76"/>
        <v>12.827272727272728</v>
      </c>
      <c r="AF90" s="71">
        <f t="shared" si="68"/>
        <v>14.469695151488649</v>
      </c>
      <c r="AG90" s="71">
        <f t="shared" si="57"/>
        <v>0.83748831110805644</v>
      </c>
      <c r="AH90" s="71">
        <f t="shared" si="58"/>
        <v>2.8736368563717556</v>
      </c>
      <c r="AI90" s="74">
        <f t="shared" si="69"/>
        <v>3.7111251674798122</v>
      </c>
      <c r="AJ90" s="73">
        <f t="shared" si="70"/>
        <v>3.3200000000000007</v>
      </c>
      <c r="AK90" s="71">
        <f t="shared" si="59"/>
        <v>7.3614142751594489</v>
      </c>
      <c r="AL90" s="71">
        <f t="shared" si="60"/>
        <v>0.21676168052208528</v>
      </c>
      <c r="AM90" s="71">
        <f t="shared" si="71"/>
        <v>2.3804000000000003</v>
      </c>
      <c r="AN90" s="188">
        <f t="shared" si="61"/>
        <v>0.22872054375531012</v>
      </c>
      <c r="AO90" s="74">
        <f t="shared" si="72"/>
        <v>2.8258822242773958</v>
      </c>
      <c r="AP90" s="73">
        <f t="shared" si="62"/>
        <v>0.39534374686130314</v>
      </c>
      <c r="AQ90" s="206">
        <f t="shared" si="63"/>
        <v>0.60619374518733149</v>
      </c>
      <c r="AR90" s="206">
        <f t="shared" si="64"/>
        <v>3.0218089420955812</v>
      </c>
      <c r="AS90" s="71">
        <f t="shared" si="65"/>
        <v>0.16</v>
      </c>
      <c r="AT90" s="74">
        <f t="shared" si="66"/>
        <v>3.6299999999999995E-5</v>
      </c>
      <c r="AU90" s="73">
        <f t="shared" si="73"/>
        <v>11.326583871088754</v>
      </c>
      <c r="AV90" s="71">
        <f t="shared" si="74"/>
        <v>177.62</v>
      </c>
      <c r="AW90" s="74">
        <f t="shared" si="75"/>
        <v>94.005404258159828</v>
      </c>
    </row>
    <row r="91" spans="17:49" x14ac:dyDescent="0.25">
      <c r="Q91">
        <v>84</v>
      </c>
      <c r="R91" s="73">
        <f t="shared" si="49"/>
        <v>53.5</v>
      </c>
      <c r="S91" s="71">
        <f t="shared" si="50"/>
        <v>3.36</v>
      </c>
      <c r="T91" s="71">
        <f t="shared" si="51"/>
        <v>11</v>
      </c>
      <c r="U91" s="74">
        <f t="shared" si="52"/>
        <v>16.34181818181818</v>
      </c>
      <c r="V91" s="73">
        <f>IF(Variable_Management!$B$20=3,2,IF((S91*R91/T91)&lt;((T91*(1-(T91/R91)))/(2*Lm*Fsw)),1,2))</f>
        <v>2</v>
      </c>
      <c r="W91" s="71">
        <f t="shared" si="53"/>
        <v>0.79439252336448596</v>
      </c>
      <c r="X91" s="74">
        <f t="shared" si="54"/>
        <v>0.20560747663551404</v>
      </c>
      <c r="Y91" s="73">
        <f t="shared" si="55"/>
        <v>5.8255451713395638</v>
      </c>
      <c r="Z91" s="71">
        <f t="shared" si="77"/>
        <v>19.254590767487962</v>
      </c>
      <c r="AA91" s="71">
        <f t="shared" si="78"/>
        <v>16.428119273556941</v>
      </c>
      <c r="AB91" s="71">
        <v>0</v>
      </c>
      <c r="AC91" s="71">
        <f t="shared" si="56"/>
        <v>0.62073113659228996</v>
      </c>
      <c r="AD91" s="74">
        <f t="shared" si="67"/>
        <v>0.62073113659228996</v>
      </c>
      <c r="AE91" s="73">
        <f t="shared" si="76"/>
        <v>12.981818181818181</v>
      </c>
      <c r="AF91" s="71">
        <f t="shared" si="68"/>
        <v>14.642169207440817</v>
      </c>
      <c r="AG91" s="71">
        <f t="shared" si="57"/>
        <v>0.85757247639731227</v>
      </c>
      <c r="AH91" s="71">
        <f t="shared" si="58"/>
        <v>2.9082589871714148</v>
      </c>
      <c r="AI91" s="74">
        <f t="shared" si="69"/>
        <v>3.7658314635687269</v>
      </c>
      <c r="AJ91" s="73">
        <f t="shared" si="70"/>
        <v>3.36</v>
      </c>
      <c r="AK91" s="71">
        <f t="shared" si="59"/>
        <v>7.4491599369918831</v>
      </c>
      <c r="AL91" s="71">
        <f t="shared" si="60"/>
        <v>0.22195993506753964</v>
      </c>
      <c r="AM91" s="71">
        <f t="shared" si="71"/>
        <v>2.3804000000000003</v>
      </c>
      <c r="AN91" s="188">
        <f t="shared" si="61"/>
        <v>0.23105508920985554</v>
      </c>
      <c r="AO91" s="74">
        <f t="shared" si="72"/>
        <v>2.8334150242773952</v>
      </c>
      <c r="AP91" s="73">
        <f t="shared" si="62"/>
        <v>0.40482465429931958</v>
      </c>
      <c r="AQ91" s="206">
        <f t="shared" si="63"/>
        <v>0.62073113659228996</v>
      </c>
      <c r="AR91" s="206">
        <f t="shared" si="64"/>
        <v>3.0218089420955812</v>
      </c>
      <c r="AS91" s="71">
        <f t="shared" si="65"/>
        <v>0.16</v>
      </c>
      <c r="AT91" s="74">
        <f t="shared" si="66"/>
        <v>3.6299999999999995E-5</v>
      </c>
      <c r="AU91" s="73">
        <f t="shared" si="73"/>
        <v>11.427378657425603</v>
      </c>
      <c r="AV91" s="71">
        <f t="shared" si="74"/>
        <v>179.76</v>
      </c>
      <c r="AW91" s="74">
        <f t="shared" si="75"/>
        <v>94.022942969524422</v>
      </c>
    </row>
    <row r="92" spans="17:49" x14ac:dyDescent="0.25">
      <c r="Q92">
        <v>85</v>
      </c>
      <c r="R92" s="73">
        <f t="shared" si="49"/>
        <v>53.5</v>
      </c>
      <c r="S92" s="71">
        <f t="shared" si="50"/>
        <v>3.4</v>
      </c>
      <c r="T92" s="71">
        <f t="shared" si="51"/>
        <v>11</v>
      </c>
      <c r="U92" s="74">
        <f t="shared" si="52"/>
        <v>16.536363636363635</v>
      </c>
      <c r="V92" s="73">
        <f>IF(Variable_Management!$B$20=3,2,IF((S92*R92/T92)&lt;((T92*(1-(T92/R92)))/(2*Lm*Fsw)),1,2))</f>
        <v>2</v>
      </c>
      <c r="W92" s="71">
        <f t="shared" si="53"/>
        <v>0.79439252336448596</v>
      </c>
      <c r="X92" s="74">
        <f t="shared" si="54"/>
        <v>0.20560747663551404</v>
      </c>
      <c r="Y92" s="73">
        <f t="shared" si="55"/>
        <v>5.8255451713395638</v>
      </c>
      <c r="Z92" s="71">
        <f t="shared" si="77"/>
        <v>19.449136222033417</v>
      </c>
      <c r="AA92" s="71">
        <f t="shared" si="78"/>
        <v>16.621654661695366</v>
      </c>
      <c r="AB92" s="71">
        <v>0</v>
      </c>
      <c r="AC92" s="71">
        <f t="shared" si="56"/>
        <v>0.63544262849311639</v>
      </c>
      <c r="AD92" s="74">
        <f t="shared" si="67"/>
        <v>0.63544262849311639</v>
      </c>
      <c r="AE92" s="73">
        <f t="shared" si="76"/>
        <v>13.136363636363635</v>
      </c>
      <c r="AF92" s="71">
        <f t="shared" si="68"/>
        <v>14.814664783688059</v>
      </c>
      <c r="AG92" s="71">
        <f t="shared" si="57"/>
        <v>0.87789717061218875</v>
      </c>
      <c r="AH92" s="71">
        <f t="shared" si="58"/>
        <v>2.9428811179710745</v>
      </c>
      <c r="AI92" s="74">
        <f t="shared" si="69"/>
        <v>3.8207782885832633</v>
      </c>
      <c r="AJ92" s="73">
        <f t="shared" si="70"/>
        <v>3.4000000000000004</v>
      </c>
      <c r="AK92" s="71">
        <f t="shared" si="59"/>
        <v>7.5369165472102848</v>
      </c>
      <c r="AL92" s="71">
        <f t="shared" si="60"/>
        <v>0.2272204441584488</v>
      </c>
      <c r="AM92" s="71">
        <f t="shared" si="71"/>
        <v>2.3804000000000003</v>
      </c>
      <c r="AN92" s="188">
        <f t="shared" si="61"/>
        <v>0.23338963466440102</v>
      </c>
      <c r="AO92" s="74">
        <f t="shared" si="72"/>
        <v>2.8410100788228498</v>
      </c>
      <c r="AP92" s="73">
        <f t="shared" si="62"/>
        <v>0.41441910553898892</v>
      </c>
      <c r="AQ92" s="206">
        <f t="shared" si="63"/>
        <v>0.63544262849311639</v>
      </c>
      <c r="AR92" s="206">
        <f t="shared" si="64"/>
        <v>3.0218089420955812</v>
      </c>
      <c r="AS92" s="71">
        <f t="shared" si="65"/>
        <v>0.16</v>
      </c>
      <c r="AT92" s="74">
        <f t="shared" si="66"/>
        <v>3.6299999999999995E-5</v>
      </c>
      <c r="AU92" s="73">
        <f t="shared" si="73"/>
        <v>11.528937972026917</v>
      </c>
      <c r="AV92" s="71">
        <f t="shared" si="74"/>
        <v>181.9</v>
      </c>
      <c r="AW92" s="74">
        <f t="shared" si="75"/>
        <v>94.039703628164375</v>
      </c>
    </row>
    <row r="93" spans="17:49" x14ac:dyDescent="0.25">
      <c r="Q93">
        <v>86</v>
      </c>
      <c r="R93" s="73">
        <f t="shared" si="49"/>
        <v>53.5</v>
      </c>
      <c r="S93" s="71">
        <f t="shared" si="50"/>
        <v>3.44</v>
      </c>
      <c r="T93" s="71">
        <f t="shared" si="51"/>
        <v>11</v>
      </c>
      <c r="U93" s="74">
        <f t="shared" si="52"/>
        <v>16.730909090909091</v>
      </c>
      <c r="V93" s="73">
        <f>IF(Variable_Management!$B$20=3,2,IF((S93*R93/T93)&lt;((T93*(1-(T93/R93)))/(2*Lm*Fsw)),1,2))</f>
        <v>2</v>
      </c>
      <c r="W93" s="71">
        <f t="shared" si="53"/>
        <v>0.79439252336448596</v>
      </c>
      <c r="X93" s="74">
        <f t="shared" si="54"/>
        <v>0.20560747663551404</v>
      </c>
      <c r="Y93" s="73">
        <f t="shared" si="55"/>
        <v>5.8255451713395638</v>
      </c>
      <c r="Z93" s="71">
        <f t="shared" si="77"/>
        <v>19.643681676578872</v>
      </c>
      <c r="AA93" s="71">
        <f t="shared" si="78"/>
        <v>16.815213361324744</v>
      </c>
      <c r="AB93" s="71">
        <v>0</v>
      </c>
      <c r="AC93" s="71">
        <f t="shared" si="56"/>
        <v>0.65032822088981068</v>
      </c>
      <c r="AD93" s="74">
        <f t="shared" si="67"/>
        <v>0.65032822088981068</v>
      </c>
      <c r="AE93" s="73">
        <f t="shared" si="76"/>
        <v>13.290909090909091</v>
      </c>
      <c r="AF93" s="71">
        <f t="shared" si="68"/>
        <v>14.987181137164225</v>
      </c>
      <c r="AG93" s="71">
        <f t="shared" si="57"/>
        <v>0.89846239375268455</v>
      </c>
      <c r="AH93" s="71">
        <f t="shared" si="58"/>
        <v>2.9775032487707342</v>
      </c>
      <c r="AI93" s="74">
        <f t="shared" si="69"/>
        <v>3.8759656425234188</v>
      </c>
      <c r="AJ93" s="73">
        <f t="shared" si="70"/>
        <v>3.4400000000000004</v>
      </c>
      <c r="AK93" s="71">
        <f t="shared" si="59"/>
        <v>7.6246837277819681</v>
      </c>
      <c r="AL93" s="71">
        <f t="shared" si="60"/>
        <v>0.23254320779481252</v>
      </c>
      <c r="AM93" s="71">
        <f t="shared" si="71"/>
        <v>2.3804000000000003</v>
      </c>
      <c r="AN93" s="188">
        <f t="shared" si="61"/>
        <v>0.23572418011894647</v>
      </c>
      <c r="AO93" s="74">
        <f t="shared" si="72"/>
        <v>2.8486673879137596</v>
      </c>
      <c r="AP93" s="73">
        <f t="shared" si="62"/>
        <v>0.42412710058031128</v>
      </c>
      <c r="AQ93" s="206">
        <f t="shared" si="63"/>
        <v>0.65032822088981068</v>
      </c>
      <c r="AR93" s="206">
        <f t="shared" si="64"/>
        <v>3.0218089420955812</v>
      </c>
      <c r="AS93" s="71">
        <f t="shared" si="65"/>
        <v>0.16</v>
      </c>
      <c r="AT93" s="74">
        <f t="shared" si="66"/>
        <v>3.6299999999999995E-5</v>
      </c>
      <c r="AU93" s="73">
        <f t="shared" si="73"/>
        <v>11.631261814892692</v>
      </c>
      <c r="AV93" s="71">
        <f t="shared" si="74"/>
        <v>184.04</v>
      </c>
      <c r="AW93" s="74">
        <f t="shared" si="75"/>
        <v>94.055712777129216</v>
      </c>
    </row>
    <row r="94" spans="17:49" x14ac:dyDescent="0.25">
      <c r="Q94">
        <v>87</v>
      </c>
      <c r="R94" s="73">
        <f t="shared" si="49"/>
        <v>53.5</v>
      </c>
      <c r="S94" s="71">
        <f t="shared" si="50"/>
        <v>3.48</v>
      </c>
      <c r="T94" s="71">
        <f t="shared" si="51"/>
        <v>11</v>
      </c>
      <c r="U94" s="74">
        <f t="shared" si="52"/>
        <v>16.925454545454546</v>
      </c>
      <c r="V94" s="73">
        <f>IF(Variable_Management!$B$20=3,2,IF((S94*R94/T94)&lt;((T94*(1-(T94/R94)))/(2*Lm*Fsw)),1,2))</f>
        <v>2</v>
      </c>
      <c r="W94" s="71">
        <f t="shared" si="53"/>
        <v>0.79439252336448596</v>
      </c>
      <c r="X94" s="74">
        <f t="shared" si="54"/>
        <v>0.20560747663551404</v>
      </c>
      <c r="Y94" s="73">
        <f t="shared" si="55"/>
        <v>5.8255451713395638</v>
      </c>
      <c r="Z94" s="71">
        <f t="shared" si="77"/>
        <v>19.838227131124327</v>
      </c>
      <c r="AA94" s="71">
        <f t="shared" si="78"/>
        <v>17.008794576596475</v>
      </c>
      <c r="AB94" s="71">
        <v>0</v>
      </c>
      <c r="AC94" s="71">
        <f t="shared" si="56"/>
        <v>0.66538791378237261</v>
      </c>
      <c r="AD94" s="74">
        <f t="shared" si="67"/>
        <v>0.66538791378237261</v>
      </c>
      <c r="AE94" s="73">
        <f t="shared" si="76"/>
        <v>13.445454545454545</v>
      </c>
      <c r="AF94" s="71">
        <f t="shared" si="68"/>
        <v>15.159717558539805</v>
      </c>
      <c r="AG94" s="71">
        <f t="shared" si="57"/>
        <v>0.91926814581880023</v>
      </c>
      <c r="AH94" s="71">
        <f t="shared" si="58"/>
        <v>3.0121253795703939</v>
      </c>
      <c r="AI94" s="74">
        <f t="shared" si="69"/>
        <v>3.9313935253891943</v>
      </c>
      <c r="AJ94" s="73">
        <f t="shared" si="70"/>
        <v>3.4800000000000004</v>
      </c>
      <c r="AK94" s="71">
        <f t="shared" si="59"/>
        <v>7.7124611178376563</v>
      </c>
      <c r="AL94" s="71">
        <f t="shared" si="60"/>
        <v>0.23792822597663069</v>
      </c>
      <c r="AM94" s="71">
        <f t="shared" si="71"/>
        <v>2.3804000000000003</v>
      </c>
      <c r="AN94" s="188">
        <f t="shared" si="61"/>
        <v>0.23805872557349192</v>
      </c>
      <c r="AO94" s="74">
        <f t="shared" si="72"/>
        <v>2.8563869515501232</v>
      </c>
      <c r="AP94" s="73">
        <f t="shared" si="62"/>
        <v>0.43394863942328649</v>
      </c>
      <c r="AQ94" s="206">
        <f t="shared" si="63"/>
        <v>0.66538791378237261</v>
      </c>
      <c r="AR94" s="206">
        <f t="shared" si="64"/>
        <v>3.0218089420955812</v>
      </c>
      <c r="AS94" s="71">
        <f t="shared" si="65"/>
        <v>0.16</v>
      </c>
      <c r="AT94" s="74">
        <f t="shared" si="66"/>
        <v>3.6299999999999995E-5</v>
      </c>
      <c r="AU94" s="73">
        <f t="shared" si="73"/>
        <v>11.73435018602293</v>
      </c>
      <c r="AV94" s="71">
        <f t="shared" si="74"/>
        <v>186.18</v>
      </c>
      <c r="AW94" s="74">
        <f t="shared" si="75"/>
        <v>94.070995774185334</v>
      </c>
    </row>
    <row r="95" spans="17:49" x14ac:dyDescent="0.25">
      <c r="Q95">
        <v>88</v>
      </c>
      <c r="R95" s="73">
        <f t="shared" si="49"/>
        <v>53.5</v>
      </c>
      <c r="S95" s="71">
        <f t="shared" si="50"/>
        <v>3.52</v>
      </c>
      <c r="T95" s="71">
        <f t="shared" si="51"/>
        <v>11</v>
      </c>
      <c r="U95" s="74">
        <f t="shared" si="52"/>
        <v>17.12</v>
      </c>
      <c r="V95" s="73">
        <f>IF(Variable_Management!$B$20=3,2,IF((S95*R95/T95)&lt;((T95*(1-(T95/R95)))/(2*Lm*Fsw)),1,2))</f>
        <v>2</v>
      </c>
      <c r="W95" s="71">
        <f t="shared" si="53"/>
        <v>0.79439252336448596</v>
      </c>
      <c r="X95" s="74">
        <f t="shared" si="54"/>
        <v>0.20560747663551404</v>
      </c>
      <c r="Y95" s="73">
        <f t="shared" si="55"/>
        <v>5.8255451713395638</v>
      </c>
      <c r="Z95" s="71">
        <f t="shared" si="77"/>
        <v>20.032772585669782</v>
      </c>
      <c r="AA95" s="71">
        <f t="shared" si="78"/>
        <v>17.202397547394661</v>
      </c>
      <c r="AB95" s="71">
        <v>0</v>
      </c>
      <c r="AC95" s="71">
        <f t="shared" si="56"/>
        <v>0.68062170717080261</v>
      </c>
      <c r="AD95" s="74">
        <f t="shared" si="67"/>
        <v>0.68062170717080261</v>
      </c>
      <c r="AE95" s="73">
        <f t="shared" si="76"/>
        <v>13.6</v>
      </c>
      <c r="AF95" s="71">
        <f t="shared" si="68"/>
        <v>15.332273370333377</v>
      </c>
      <c r="AG95" s="71">
        <f t="shared" si="57"/>
        <v>0.94031442681053601</v>
      </c>
      <c r="AH95" s="71">
        <f t="shared" si="58"/>
        <v>3.0467475103700541</v>
      </c>
      <c r="AI95" s="74">
        <f t="shared" si="69"/>
        <v>3.9870619371805902</v>
      </c>
      <c r="AJ95" s="73">
        <f t="shared" si="70"/>
        <v>3.5200000000000005</v>
      </c>
      <c r="AK95" s="71">
        <f t="shared" si="59"/>
        <v>7.8002483727106968</v>
      </c>
      <c r="AL95" s="71">
        <f t="shared" si="60"/>
        <v>0.24337549870390351</v>
      </c>
      <c r="AM95" s="71">
        <f t="shared" si="71"/>
        <v>2.3804000000000003</v>
      </c>
      <c r="AN95" s="188">
        <f t="shared" si="61"/>
        <v>0.2403932710280374</v>
      </c>
      <c r="AO95" s="74">
        <f t="shared" si="72"/>
        <v>2.8641687697319411</v>
      </c>
      <c r="AP95" s="73">
        <f t="shared" si="62"/>
        <v>0.44388372206791482</v>
      </c>
      <c r="AQ95" s="206">
        <f t="shared" si="63"/>
        <v>0.68062170717080261</v>
      </c>
      <c r="AR95" s="206">
        <f t="shared" si="64"/>
        <v>3.0218089420955812</v>
      </c>
      <c r="AS95" s="71">
        <f t="shared" si="65"/>
        <v>0.16</v>
      </c>
      <c r="AT95" s="74">
        <f t="shared" si="66"/>
        <v>3.6299999999999995E-5</v>
      </c>
      <c r="AU95" s="73">
        <f t="shared" si="73"/>
        <v>11.838203085417632</v>
      </c>
      <c r="AV95" s="71">
        <f t="shared" si="74"/>
        <v>188.32</v>
      </c>
      <c r="AW95" s="74">
        <f t="shared" si="75"/>
        <v>94.085576857239445</v>
      </c>
    </row>
    <row r="96" spans="17:49" x14ac:dyDescent="0.25">
      <c r="Q96">
        <v>89</v>
      </c>
      <c r="R96" s="73">
        <f t="shared" si="49"/>
        <v>53.5</v>
      </c>
      <c r="S96" s="71">
        <f t="shared" si="50"/>
        <v>3.56</v>
      </c>
      <c r="T96" s="71">
        <f t="shared" si="51"/>
        <v>11</v>
      </c>
      <c r="U96" s="74">
        <f t="shared" si="52"/>
        <v>17.314545454545456</v>
      </c>
      <c r="V96" s="73">
        <f>IF(Variable_Management!$B$20=3,2,IF((S96*R96/T96)&lt;((T96*(1-(T96/R96)))/(2*Lm*Fsw)),1,2))</f>
        <v>2</v>
      </c>
      <c r="W96" s="71">
        <f t="shared" si="53"/>
        <v>0.79439252336448596</v>
      </c>
      <c r="X96" s="74">
        <f t="shared" si="54"/>
        <v>0.20560747663551404</v>
      </c>
      <c r="Y96" s="73">
        <f t="shared" si="55"/>
        <v>5.8255451713395638</v>
      </c>
      <c r="Z96" s="71">
        <f t="shared" si="77"/>
        <v>20.227318040215238</v>
      </c>
      <c r="AA96" s="71">
        <f t="shared" si="78"/>
        <v>17.396021547357616</v>
      </c>
      <c r="AB96" s="71">
        <v>0</v>
      </c>
      <c r="AC96" s="71">
        <f t="shared" si="56"/>
        <v>0.69602960105510014</v>
      </c>
      <c r="AD96" s="74">
        <f t="shared" si="67"/>
        <v>0.69602960105510014</v>
      </c>
      <c r="AE96" s="73">
        <f t="shared" si="76"/>
        <v>13.754545454545456</v>
      </c>
      <c r="AF96" s="71">
        <f t="shared" si="68"/>
        <v>15.504847925148214</v>
      </c>
      <c r="AG96" s="71">
        <f t="shared" si="57"/>
        <v>0.96160123672789155</v>
      </c>
      <c r="AH96" s="71">
        <f t="shared" si="58"/>
        <v>3.0813696411697138</v>
      </c>
      <c r="AI96" s="74">
        <f t="shared" si="69"/>
        <v>4.0429708778976057</v>
      </c>
      <c r="AJ96" s="73">
        <f t="shared" si="70"/>
        <v>3.5600000000000009</v>
      </c>
      <c r="AK96" s="71">
        <f t="shared" si="59"/>
        <v>7.8880451630399335</v>
      </c>
      <c r="AL96" s="71">
        <f t="shared" si="60"/>
        <v>0.24888502597663079</v>
      </c>
      <c r="AM96" s="71">
        <f t="shared" si="71"/>
        <v>2.3804000000000003</v>
      </c>
      <c r="AN96" s="188">
        <f t="shared" si="61"/>
        <v>0.24272781648258285</v>
      </c>
      <c r="AO96" s="74">
        <f t="shared" si="72"/>
        <v>2.8720128424592137</v>
      </c>
      <c r="AP96" s="73">
        <f t="shared" si="62"/>
        <v>0.45393234851419578</v>
      </c>
      <c r="AQ96" s="206">
        <f t="shared" si="63"/>
        <v>0.69602960105510014</v>
      </c>
      <c r="AR96" s="206">
        <f t="shared" si="64"/>
        <v>3.0218089420955812</v>
      </c>
      <c r="AS96" s="71">
        <f t="shared" si="65"/>
        <v>0.16</v>
      </c>
      <c r="AT96" s="74">
        <f t="shared" si="66"/>
        <v>3.6299999999999995E-5</v>
      </c>
      <c r="AU96" s="73">
        <f t="shared" si="73"/>
        <v>11.942820513076796</v>
      </c>
      <c r="AV96" s="71">
        <f t="shared" si="74"/>
        <v>190.46</v>
      </c>
      <c r="AW96" s="74">
        <f t="shared" si="75"/>
        <v>94.0994792054762</v>
      </c>
    </row>
    <row r="97" spans="17:49" x14ac:dyDescent="0.25">
      <c r="Q97">
        <v>90</v>
      </c>
      <c r="R97" s="73">
        <f t="shared" si="49"/>
        <v>53.5</v>
      </c>
      <c r="S97" s="71">
        <f t="shared" si="50"/>
        <v>3.6</v>
      </c>
      <c r="T97" s="71">
        <f t="shared" si="51"/>
        <v>11</v>
      </c>
      <c r="U97" s="74">
        <f t="shared" si="52"/>
        <v>17.509090909090908</v>
      </c>
      <c r="V97" s="73">
        <f>IF(Variable_Management!$B$20=3,2,IF((S97*R97/T97)&lt;((T97*(1-(T97/R97)))/(2*Lm*Fsw)),1,2))</f>
        <v>2</v>
      </c>
      <c r="W97" s="71">
        <f t="shared" si="53"/>
        <v>0.79439252336448596</v>
      </c>
      <c r="X97" s="74">
        <f t="shared" si="54"/>
        <v>0.20560747663551404</v>
      </c>
      <c r="Y97" s="73">
        <f t="shared" si="55"/>
        <v>5.8255451713395638</v>
      </c>
      <c r="Z97" s="71">
        <f t="shared" si="77"/>
        <v>20.421863494760689</v>
      </c>
      <c r="AA97" s="71">
        <f t="shared" si="78"/>
        <v>17.589665882029131</v>
      </c>
      <c r="AB97" s="71">
        <v>0</v>
      </c>
      <c r="AC97" s="71">
        <f t="shared" si="56"/>
        <v>0.7116115954352652</v>
      </c>
      <c r="AD97" s="74">
        <f t="shared" si="67"/>
        <v>0.7116115954352652</v>
      </c>
      <c r="AE97" s="73">
        <f t="shared" si="76"/>
        <v>13.909090909090908</v>
      </c>
      <c r="AF97" s="71">
        <f t="shared" si="68"/>
        <v>15.677440604024516</v>
      </c>
      <c r="AG97" s="71">
        <f t="shared" si="57"/>
        <v>0.98312857557086641</v>
      </c>
      <c r="AH97" s="71">
        <f t="shared" si="58"/>
        <v>3.1159917719693726</v>
      </c>
      <c r="AI97" s="74">
        <f t="shared" si="69"/>
        <v>4.0991203475402394</v>
      </c>
      <c r="AJ97" s="73">
        <f t="shared" si="70"/>
        <v>3.6</v>
      </c>
      <c r="AK97" s="71">
        <f t="shared" si="59"/>
        <v>7.9758511739314146</v>
      </c>
      <c r="AL97" s="71">
        <f t="shared" si="60"/>
        <v>0.2544568077948125</v>
      </c>
      <c r="AM97" s="71">
        <f t="shared" si="71"/>
        <v>2.3804000000000003</v>
      </c>
      <c r="AN97" s="188">
        <f t="shared" si="61"/>
        <v>0.24506236193712827</v>
      </c>
      <c r="AO97" s="74">
        <f t="shared" si="72"/>
        <v>2.8799191697319411</v>
      </c>
      <c r="AP97" s="73">
        <f t="shared" si="62"/>
        <v>0.46409451876212948</v>
      </c>
      <c r="AQ97" s="206">
        <f t="shared" si="63"/>
        <v>0.7116115954352652</v>
      </c>
      <c r="AR97" s="206">
        <f t="shared" si="64"/>
        <v>3.0218089420955812</v>
      </c>
      <c r="AS97" s="71">
        <f t="shared" si="65"/>
        <v>0.16</v>
      </c>
      <c r="AT97" s="74">
        <f t="shared" si="66"/>
        <v>3.6299999999999995E-5</v>
      </c>
      <c r="AU97" s="73">
        <f t="shared" si="73"/>
        <v>12.048202469000422</v>
      </c>
      <c r="AV97" s="71">
        <f t="shared" si="74"/>
        <v>192.6</v>
      </c>
      <c r="AW97" s="74">
        <f t="shared" si="75"/>
        <v>94.112724996533771</v>
      </c>
    </row>
    <row r="98" spans="17:49" x14ac:dyDescent="0.25">
      <c r="Q98">
        <v>91</v>
      </c>
      <c r="R98" s="73">
        <f t="shared" si="49"/>
        <v>53.5</v>
      </c>
      <c r="S98" s="71">
        <f t="shared" si="50"/>
        <v>3.64</v>
      </c>
      <c r="T98" s="71">
        <f t="shared" si="51"/>
        <v>11</v>
      </c>
      <c r="U98" s="74">
        <f t="shared" si="52"/>
        <v>17.703636363636363</v>
      </c>
      <c r="V98" s="73">
        <f>IF(Variable_Management!$B$20=3,2,IF((S98*R98/T98)&lt;((T98*(1-(T98/R98)))/(2*Lm*Fsw)),1,2))</f>
        <v>2</v>
      </c>
      <c r="W98" s="71">
        <f t="shared" si="53"/>
        <v>0.79439252336448596</v>
      </c>
      <c r="X98" s="74">
        <f t="shared" si="54"/>
        <v>0.20560747663551404</v>
      </c>
      <c r="Y98" s="73">
        <f t="shared" si="55"/>
        <v>5.8255451713395638</v>
      </c>
      <c r="Z98" s="71">
        <f t="shared" si="77"/>
        <v>20.616408949306145</v>
      </c>
      <c r="AA98" s="71">
        <f t="shared" si="78"/>
        <v>17.783329887129621</v>
      </c>
      <c r="AB98" s="71">
        <v>0</v>
      </c>
      <c r="AC98" s="71">
        <f t="shared" si="56"/>
        <v>0.72736769031129855</v>
      </c>
      <c r="AD98" s="74">
        <f t="shared" si="67"/>
        <v>0.72736769031129855</v>
      </c>
      <c r="AE98" s="73">
        <f t="shared" si="76"/>
        <v>14.063636363636363</v>
      </c>
      <c r="AF98" s="71">
        <f t="shared" si="68"/>
        <v>15.850050814898522</v>
      </c>
      <c r="AG98" s="71">
        <f t="shared" si="57"/>
        <v>1.0048964433394612</v>
      </c>
      <c r="AH98" s="71">
        <f t="shared" si="58"/>
        <v>3.1506139027690327</v>
      </c>
      <c r="AI98" s="74">
        <f t="shared" si="69"/>
        <v>4.1555103461084943</v>
      </c>
      <c r="AJ98" s="73">
        <f t="shared" si="70"/>
        <v>3.64</v>
      </c>
      <c r="AK98" s="71">
        <f t="shared" si="59"/>
        <v>8.0636661041744659</v>
      </c>
      <c r="AL98" s="71">
        <f t="shared" si="60"/>
        <v>0.2600908441584488</v>
      </c>
      <c r="AM98" s="71">
        <f t="shared" si="71"/>
        <v>2.3804000000000003</v>
      </c>
      <c r="AN98" s="188">
        <f t="shared" si="61"/>
        <v>0.24739690739167375</v>
      </c>
      <c r="AO98" s="74">
        <f t="shared" si="72"/>
        <v>2.8878877515501227</v>
      </c>
      <c r="AP98" s="73">
        <f t="shared" si="62"/>
        <v>0.47437023281171647</v>
      </c>
      <c r="AQ98" s="206">
        <f t="shared" si="63"/>
        <v>0.72736769031129855</v>
      </c>
      <c r="AR98" s="206">
        <f t="shared" si="64"/>
        <v>3.0218089420955812</v>
      </c>
      <c r="AS98" s="71">
        <f t="shared" si="65"/>
        <v>0.16</v>
      </c>
      <c r="AT98" s="74">
        <f t="shared" si="66"/>
        <v>3.6299999999999995E-5</v>
      </c>
      <c r="AU98" s="73">
        <f t="shared" si="73"/>
        <v>12.154348953188514</v>
      </c>
      <c r="AV98" s="71">
        <f t="shared" si="74"/>
        <v>194.74</v>
      </c>
      <c r="AW98" s="74">
        <f t="shared" si="75"/>
        <v>94.125335460013687</v>
      </c>
    </row>
    <row r="99" spans="17:49" x14ac:dyDescent="0.25">
      <c r="Q99">
        <v>92</v>
      </c>
      <c r="R99" s="73">
        <f t="shared" si="49"/>
        <v>53.5</v>
      </c>
      <c r="S99" s="71">
        <f t="shared" si="50"/>
        <v>3.68</v>
      </c>
      <c r="T99" s="71">
        <f t="shared" si="51"/>
        <v>11</v>
      </c>
      <c r="U99" s="74">
        <f t="shared" si="52"/>
        <v>17.898181818181818</v>
      </c>
      <c r="V99" s="73">
        <f>IF(Variable_Management!$B$20=3,2,IF((S99*R99/T99)&lt;((T99*(1-(T99/R99)))/(2*Lm*Fsw)),1,2))</f>
        <v>2</v>
      </c>
      <c r="W99" s="71">
        <f t="shared" si="53"/>
        <v>0.79439252336448596</v>
      </c>
      <c r="X99" s="74">
        <f t="shared" si="54"/>
        <v>0.20560747663551404</v>
      </c>
      <c r="Y99" s="73">
        <f t="shared" si="55"/>
        <v>5.8255451713395638</v>
      </c>
      <c r="Z99" s="71">
        <f t="shared" si="77"/>
        <v>20.8109544038516</v>
      </c>
      <c r="AA99" s="71">
        <f t="shared" si="78"/>
        <v>17.977012926938222</v>
      </c>
      <c r="AB99" s="71">
        <v>0</v>
      </c>
      <c r="AC99" s="71">
        <f t="shared" si="56"/>
        <v>0.7432978856831991</v>
      </c>
      <c r="AD99" s="74">
        <f t="shared" si="67"/>
        <v>0.7432978856831991</v>
      </c>
      <c r="AE99" s="73">
        <f t="shared" si="76"/>
        <v>14.218181818181819</v>
      </c>
      <c r="AF99" s="71">
        <f t="shared" si="68"/>
        <v>16.022677991160499</v>
      </c>
      <c r="AG99" s="71">
        <f t="shared" si="57"/>
        <v>1.0269048400336762</v>
      </c>
      <c r="AH99" s="71">
        <f t="shared" si="58"/>
        <v>3.1852360335686929</v>
      </c>
      <c r="AI99" s="74">
        <f t="shared" si="69"/>
        <v>4.2121408736023689</v>
      </c>
      <c r="AJ99" s="73">
        <f t="shared" si="70"/>
        <v>3.6800000000000006</v>
      </c>
      <c r="AK99" s="71">
        <f t="shared" si="59"/>
        <v>8.1514896655080751</v>
      </c>
      <c r="AL99" s="71">
        <f t="shared" si="60"/>
        <v>0.26578713506753981</v>
      </c>
      <c r="AM99" s="71">
        <f t="shared" si="71"/>
        <v>2.3804000000000003</v>
      </c>
      <c r="AN99" s="188">
        <f t="shared" si="61"/>
        <v>0.2497314528462192</v>
      </c>
      <c r="AO99" s="74">
        <f t="shared" si="72"/>
        <v>2.8959185879137594</v>
      </c>
      <c r="AP99" s="73">
        <f t="shared" si="62"/>
        <v>0.48475949066295593</v>
      </c>
      <c r="AQ99" s="206">
        <f t="shared" si="63"/>
        <v>0.7432978856831991</v>
      </c>
      <c r="AR99" s="206">
        <f t="shared" si="64"/>
        <v>3.0218089420955812</v>
      </c>
      <c r="AS99" s="71">
        <f t="shared" si="65"/>
        <v>0.16</v>
      </c>
      <c r="AT99" s="74">
        <f t="shared" si="66"/>
        <v>3.6299999999999995E-5</v>
      </c>
      <c r="AU99" s="73">
        <f t="shared" si="73"/>
        <v>12.261259965641063</v>
      </c>
      <c r="AV99" s="71">
        <f t="shared" si="74"/>
        <v>196.88</v>
      </c>
      <c r="AW99" s="74">
        <f t="shared" si="75"/>
        <v>94.137330927596295</v>
      </c>
    </row>
    <row r="100" spans="17:49" x14ac:dyDescent="0.25">
      <c r="Q100">
        <v>93</v>
      </c>
      <c r="R100" s="73">
        <f t="shared" si="49"/>
        <v>53.5</v>
      </c>
      <c r="S100" s="71">
        <f t="shared" si="50"/>
        <v>3.72</v>
      </c>
      <c r="T100" s="71">
        <f t="shared" si="51"/>
        <v>11</v>
      </c>
      <c r="U100" s="74">
        <f t="shared" si="52"/>
        <v>18.092727272727274</v>
      </c>
      <c r="V100" s="73">
        <f>IF(Variable_Management!$B$20=3,2,IF((S100*R100/T100)&lt;((T100*(1-(T100/R100)))/(2*Lm*Fsw)),1,2))</f>
        <v>2</v>
      </c>
      <c r="W100" s="71">
        <f t="shared" si="53"/>
        <v>0.79439252336448596</v>
      </c>
      <c r="X100" s="74">
        <f t="shared" si="54"/>
        <v>0.20560747663551404</v>
      </c>
      <c r="Y100" s="73">
        <f t="shared" si="55"/>
        <v>5.8255451713395638</v>
      </c>
      <c r="Z100" s="71">
        <f t="shared" si="77"/>
        <v>21.005499858397055</v>
      </c>
      <c r="AA100" s="71">
        <f t="shared" si="78"/>
        <v>18.170714392777711</v>
      </c>
      <c r="AB100" s="71">
        <v>0</v>
      </c>
      <c r="AC100" s="71">
        <f t="shared" si="56"/>
        <v>0.75940218155096784</v>
      </c>
      <c r="AD100" s="74">
        <f t="shared" si="67"/>
        <v>0.75940218155096784</v>
      </c>
      <c r="AE100" s="73">
        <f t="shared" si="76"/>
        <v>14.372727272727273</v>
      </c>
      <c r="AF100" s="71">
        <f t="shared" si="68"/>
        <v>16.195321590304335</v>
      </c>
      <c r="AG100" s="71">
        <f t="shared" si="57"/>
        <v>1.0491537656535108</v>
      </c>
      <c r="AH100" s="71">
        <f t="shared" si="58"/>
        <v>3.2198581643683526</v>
      </c>
      <c r="AI100" s="74">
        <f t="shared" si="69"/>
        <v>4.269011930021863</v>
      </c>
      <c r="AJ100" s="73">
        <f t="shared" si="70"/>
        <v>3.7200000000000006</v>
      </c>
      <c r="AK100" s="71">
        <f t="shared" si="59"/>
        <v>8.2393215819338739</v>
      </c>
      <c r="AL100" s="71">
        <f t="shared" si="60"/>
        <v>0.27154568052208528</v>
      </c>
      <c r="AM100" s="71">
        <f t="shared" si="71"/>
        <v>2.3804000000000003</v>
      </c>
      <c r="AN100" s="188">
        <f t="shared" si="61"/>
        <v>0.25206599830076465</v>
      </c>
      <c r="AO100" s="74">
        <f t="shared" si="72"/>
        <v>2.9040116788228501</v>
      </c>
      <c r="AP100" s="73">
        <f t="shared" si="62"/>
        <v>0.49526229231584862</v>
      </c>
      <c r="AQ100" s="206">
        <f t="shared" si="63"/>
        <v>0.75940218155096784</v>
      </c>
      <c r="AR100" s="206">
        <f t="shared" si="64"/>
        <v>3.0218089420955812</v>
      </c>
      <c r="AS100" s="71">
        <f t="shared" si="65"/>
        <v>0.16</v>
      </c>
      <c r="AT100" s="74">
        <f t="shared" si="66"/>
        <v>3.6299999999999995E-5</v>
      </c>
      <c r="AU100" s="73">
        <f t="shared" si="73"/>
        <v>12.368935506358078</v>
      </c>
      <c r="AV100" s="71">
        <f t="shared" si="74"/>
        <v>199.02</v>
      </c>
      <c r="AW100" s="74">
        <f t="shared" si="75"/>
        <v>94.14873088001049</v>
      </c>
    </row>
    <row r="101" spans="17:49" x14ac:dyDescent="0.25">
      <c r="Q101">
        <v>94</v>
      </c>
      <c r="R101" s="73">
        <f t="shared" si="49"/>
        <v>53.5</v>
      </c>
      <c r="S101" s="71">
        <f t="shared" si="50"/>
        <v>3.7600000000000002</v>
      </c>
      <c r="T101" s="71">
        <f t="shared" si="51"/>
        <v>11</v>
      </c>
      <c r="U101" s="74">
        <f t="shared" si="52"/>
        <v>18.287272727272729</v>
      </c>
      <c r="V101" s="73">
        <f>IF(Variable_Management!$B$20=3,2,IF((S101*R101/T101)&lt;((T101*(1-(T101/R101)))/(2*Lm*Fsw)),1,2))</f>
        <v>2</v>
      </c>
      <c r="W101" s="71">
        <f t="shared" si="53"/>
        <v>0.79439252336448596</v>
      </c>
      <c r="X101" s="74">
        <f t="shared" si="54"/>
        <v>0.20560747663551404</v>
      </c>
      <c r="Y101" s="73">
        <f t="shared" si="55"/>
        <v>5.8255451713395638</v>
      </c>
      <c r="Z101" s="71">
        <f t="shared" si="77"/>
        <v>21.20004531294251</v>
      </c>
      <c r="AA101" s="71">
        <f t="shared" si="78"/>
        <v>18.364433701594578</v>
      </c>
      <c r="AB101" s="71">
        <v>0</v>
      </c>
      <c r="AC101" s="71">
        <f t="shared" si="56"/>
        <v>0.77568057791460421</v>
      </c>
      <c r="AD101" s="74">
        <f t="shared" si="67"/>
        <v>0.77568057791460421</v>
      </c>
      <c r="AE101" s="73">
        <f t="shared" si="76"/>
        <v>14.527272727272727</v>
      </c>
      <c r="AF101" s="71">
        <f t="shared" si="68"/>
        <v>16.367981092662021</v>
      </c>
      <c r="AG101" s="71">
        <f t="shared" si="57"/>
        <v>1.0716432201989656</v>
      </c>
      <c r="AH101" s="71">
        <f t="shared" si="58"/>
        <v>3.2544802951680123</v>
      </c>
      <c r="AI101" s="74">
        <f t="shared" si="69"/>
        <v>4.3261235153669784</v>
      </c>
      <c r="AJ101" s="73">
        <f t="shared" si="70"/>
        <v>3.7600000000000007</v>
      </c>
      <c r="AK101" s="71">
        <f t="shared" si="59"/>
        <v>8.327161589072313</v>
      </c>
      <c r="AL101" s="71">
        <f t="shared" si="60"/>
        <v>0.27736648052208535</v>
      </c>
      <c r="AM101" s="71">
        <f t="shared" si="71"/>
        <v>2.3804000000000003</v>
      </c>
      <c r="AN101" s="188">
        <f t="shared" si="61"/>
        <v>0.25440054375531013</v>
      </c>
      <c r="AO101" s="74">
        <f t="shared" si="72"/>
        <v>2.9121670242773958</v>
      </c>
      <c r="AP101" s="73">
        <f t="shared" si="62"/>
        <v>0.5058786377703941</v>
      </c>
      <c r="AQ101" s="206">
        <f t="shared" si="63"/>
        <v>0.77568057791460421</v>
      </c>
      <c r="AR101" s="206">
        <f t="shared" si="64"/>
        <v>3.0218089420955812</v>
      </c>
      <c r="AS101" s="71">
        <f t="shared" si="65"/>
        <v>0.16</v>
      </c>
      <c r="AT101" s="74">
        <f t="shared" si="66"/>
        <v>3.6299999999999995E-5</v>
      </c>
      <c r="AU101" s="73">
        <f t="shared" si="73"/>
        <v>12.477375575339558</v>
      </c>
      <c r="AV101" s="71">
        <f t="shared" si="74"/>
        <v>201.16000000000003</v>
      </c>
      <c r="AW101" s="74">
        <f t="shared" si="75"/>
        <v>94.159553991085517</v>
      </c>
    </row>
    <row r="102" spans="17:49" x14ac:dyDescent="0.25">
      <c r="Q102">
        <v>95</v>
      </c>
      <c r="R102" s="73">
        <f t="shared" si="49"/>
        <v>53.5</v>
      </c>
      <c r="S102" s="71">
        <f t="shared" si="50"/>
        <v>3.8000000000000003</v>
      </c>
      <c r="T102" s="71">
        <f t="shared" si="51"/>
        <v>11</v>
      </c>
      <c r="U102" s="74">
        <f t="shared" si="52"/>
        <v>18.481818181818184</v>
      </c>
      <c r="V102" s="73">
        <f>IF(Variable_Management!$B$20=3,2,IF((S102*R102/T102)&lt;((T102*(1-(T102/R102)))/(2*Lm*Fsw)),1,2))</f>
        <v>2</v>
      </c>
      <c r="W102" s="71">
        <f t="shared" si="53"/>
        <v>0.79439252336448596</v>
      </c>
      <c r="X102" s="74">
        <f t="shared" si="54"/>
        <v>0.20560747663551404</v>
      </c>
      <c r="Y102" s="73">
        <f t="shared" si="55"/>
        <v>5.8255451713395638</v>
      </c>
      <c r="Z102" s="71">
        <f t="shared" si="77"/>
        <v>21.394590767487966</v>
      </c>
      <c r="AA102" s="71">
        <f t="shared" si="78"/>
        <v>18.558170294627512</v>
      </c>
      <c r="AB102" s="71">
        <v>0</v>
      </c>
      <c r="AC102" s="71">
        <f t="shared" si="56"/>
        <v>0.79213307477410844</v>
      </c>
      <c r="AD102" s="74">
        <f t="shared" si="67"/>
        <v>0.79213307477410844</v>
      </c>
      <c r="AE102" s="73">
        <f t="shared" si="76"/>
        <v>14.681818181818183</v>
      </c>
      <c r="AF102" s="71">
        <f t="shared" si="68"/>
        <v>16.54065600021686</v>
      </c>
      <c r="AG102" s="71">
        <f t="shared" si="57"/>
        <v>1.0943732036700402</v>
      </c>
      <c r="AH102" s="71">
        <f t="shared" si="58"/>
        <v>3.289102425967672</v>
      </c>
      <c r="AI102" s="74">
        <f t="shared" si="69"/>
        <v>4.3834756296377124</v>
      </c>
      <c r="AJ102" s="73">
        <f t="shared" si="70"/>
        <v>3.8000000000000007</v>
      </c>
      <c r="AK102" s="71">
        <f t="shared" si="59"/>
        <v>8.4150094335588808</v>
      </c>
      <c r="AL102" s="71">
        <f t="shared" si="60"/>
        <v>0.2832495350675398</v>
      </c>
      <c r="AM102" s="71">
        <f t="shared" si="71"/>
        <v>2.3804000000000003</v>
      </c>
      <c r="AN102" s="188">
        <f t="shared" si="61"/>
        <v>0.2567350892098556</v>
      </c>
      <c r="AO102" s="74">
        <f t="shared" si="72"/>
        <v>2.9203846242773954</v>
      </c>
      <c r="AP102" s="73">
        <f t="shared" si="62"/>
        <v>0.51660852702659255</v>
      </c>
      <c r="AQ102" s="206">
        <f t="shared" si="63"/>
        <v>0.79213307477410844</v>
      </c>
      <c r="AR102" s="206">
        <f t="shared" si="64"/>
        <v>3.0218089420955812</v>
      </c>
      <c r="AS102" s="71">
        <f t="shared" si="65"/>
        <v>0.16</v>
      </c>
      <c r="AT102" s="74">
        <f t="shared" si="66"/>
        <v>3.6299999999999995E-5</v>
      </c>
      <c r="AU102" s="73">
        <f t="shared" si="73"/>
        <v>12.586580172585499</v>
      </c>
      <c r="AV102" s="71">
        <f t="shared" si="74"/>
        <v>203.3</v>
      </c>
      <c r="AW102" s="74">
        <f t="shared" si="75"/>
        <v>94.169818169094412</v>
      </c>
    </row>
    <row r="103" spans="17:49" x14ac:dyDescent="0.25">
      <c r="Q103">
        <v>96</v>
      </c>
      <c r="R103" s="73">
        <f t="shared" si="49"/>
        <v>53.5</v>
      </c>
      <c r="S103" s="71">
        <f t="shared" ref="S103:S134" si="79">Q103*$O$12</f>
        <v>3.84</v>
      </c>
      <c r="T103" s="71">
        <f t="shared" si="51"/>
        <v>11</v>
      </c>
      <c r="U103" s="74">
        <f t="shared" ref="U103:U134" si="80">(R103*S103)/(T103*EFF_est)</f>
        <v>18.676363636363636</v>
      </c>
      <c r="V103" s="73">
        <f>IF(Variable_Management!$B$20=3,2,IF((S103*R103/T103)&lt;((T103*(1-(T103/R103)))/(2*Lm*Fsw)),1,2))</f>
        <v>2</v>
      </c>
      <c r="W103" s="71">
        <f t="shared" ref="W103:W134" si="81">CHOOSE(V103,SQRT((2*S103*Lm*Fsw*(R103-T103))/((T103)^2)),1-(T103/R103))</f>
        <v>0.79439252336448596</v>
      </c>
      <c r="X103" s="74">
        <f t="shared" ref="X103:X134" si="82">CHOOSE(V103,(Lm*Z103*Fsw)/(R103-T103),1-W103)</f>
        <v>0.20560747663551404</v>
      </c>
      <c r="Y103" s="73">
        <f t="shared" ref="Y103:Y134" si="83">(T103*W103)/(Lm*Fsw)</f>
        <v>5.8255451713395638</v>
      </c>
      <c r="Z103" s="71">
        <f t="shared" si="77"/>
        <v>21.589136222033417</v>
      </c>
      <c r="AA103" s="71">
        <f t="shared" si="78"/>
        <v>18.751923636157859</v>
      </c>
      <c r="AB103" s="71">
        <v>0</v>
      </c>
      <c r="AC103" s="71">
        <f t="shared" ref="AC103:AC134" si="84">(AA103^2)*Rdcr</f>
        <v>0.8087596721294803</v>
      </c>
      <c r="AD103" s="74">
        <f t="shared" si="67"/>
        <v>0.8087596721294803</v>
      </c>
      <c r="AE103" s="73">
        <f t="shared" si="76"/>
        <v>14.836363636363636</v>
      </c>
      <c r="AF103" s="71">
        <f t="shared" si="68"/>
        <v>16.713345835489779</v>
      </c>
      <c r="AG103" s="71">
        <f t="shared" ref="AG103:AG134" si="85">(AF103^2)*RDS_on</f>
        <v>1.1173437160667343</v>
      </c>
      <c r="AH103" s="71">
        <f t="shared" ref="AH103:AH134" si="86">((R103*U103)/2)*Fsw*(tr_sw+tf_sw)</f>
        <v>3.3237245567673313</v>
      </c>
      <c r="AI103" s="74">
        <f t="shared" si="69"/>
        <v>4.441068272834066</v>
      </c>
      <c r="AJ103" s="73">
        <f t="shared" si="70"/>
        <v>3.8400000000000003</v>
      </c>
      <c r="AK103" s="71">
        <f t="shared" ref="AK103:AK134" si="87">CHOOSE(V103,Z103*SQRT(X103/3),SQRT(X103*((Z103^2)+((Y103^2)/3)-(Y103*Z103))))</f>
        <v>8.5028648724775238</v>
      </c>
      <c r="AL103" s="71">
        <f t="shared" ref="AL103:AL134" si="88">(AK103^2)*RDS_on_HS</f>
        <v>0.28919484415844887</v>
      </c>
      <c r="AM103" s="71">
        <f t="shared" si="71"/>
        <v>2.3804000000000003</v>
      </c>
      <c r="AN103" s="188">
        <f t="shared" ref="AN103:AN134" si="89">Vd_rect*t_dead*Fsw*Z103</f>
        <v>0.25906963466440103</v>
      </c>
      <c r="AO103" s="74">
        <f t="shared" si="72"/>
        <v>2.9286644788228502</v>
      </c>
      <c r="AP103" s="73">
        <f t="shared" ref="AP103:AP134" si="90">(AA103^2)*R_cs</f>
        <v>0.52745196008444373</v>
      </c>
      <c r="AQ103" s="206">
        <f t="shared" ref="AQ103:AQ134" si="91">Rdcr*AA103^2</f>
        <v>0.8087596721294803</v>
      </c>
      <c r="AR103" s="206">
        <f t="shared" ref="AR103:AR134" si="92">ABS(7.759*10^-3*Fsw^0.9458*(0.00787*Y103)^2.304)</f>
        <v>3.0218089420955812</v>
      </c>
      <c r="AS103" s="71">
        <f t="shared" ref="AS103:AS134" si="93">(Qg_tot+Qg_tot_HS)*Vcc*Fsw</f>
        <v>0.16</v>
      </c>
      <c r="AT103" s="74">
        <f t="shared" ref="AT103:AT134" si="94">IQ*T103</f>
        <v>3.6299999999999995E-5</v>
      </c>
      <c r="AU103" s="73">
        <f t="shared" si="73"/>
        <v>12.696549298095903</v>
      </c>
      <c r="AV103" s="71">
        <f t="shared" si="74"/>
        <v>205.44</v>
      </c>
      <c r="AW103" s="74">
        <f t="shared" si="75"/>
        <v>94.179540595581088</v>
      </c>
    </row>
    <row r="104" spans="17:49" x14ac:dyDescent="0.25">
      <c r="Q104">
        <v>97</v>
      </c>
      <c r="R104" s="73">
        <f t="shared" si="49"/>
        <v>53.5</v>
      </c>
      <c r="S104" s="71">
        <f t="shared" si="79"/>
        <v>3.88</v>
      </c>
      <c r="T104" s="71">
        <f t="shared" si="51"/>
        <v>11</v>
      </c>
      <c r="U104" s="74">
        <f t="shared" si="80"/>
        <v>18.870909090909091</v>
      </c>
      <c r="V104" s="73">
        <f>IF(Variable_Management!$B$20=3,2,IF((S104*R104/T104)&lt;((T104*(1-(T104/R104)))/(2*Lm*Fsw)),1,2))</f>
        <v>2</v>
      </c>
      <c r="W104" s="71">
        <f t="shared" si="81"/>
        <v>0.79439252336448596</v>
      </c>
      <c r="X104" s="74">
        <f t="shared" si="82"/>
        <v>0.20560747663551404</v>
      </c>
      <c r="Y104" s="73">
        <f t="shared" si="83"/>
        <v>5.8255451713395638</v>
      </c>
      <c r="Z104" s="71">
        <f t="shared" si="77"/>
        <v>21.783681676578873</v>
      </c>
      <c r="AA104" s="71">
        <f t="shared" si="78"/>
        <v>18.945693212336284</v>
      </c>
      <c r="AB104" s="71">
        <v>0</v>
      </c>
      <c r="AC104" s="71">
        <f t="shared" si="84"/>
        <v>0.8255603699807198</v>
      </c>
      <c r="AD104" s="74">
        <f t="shared" si="67"/>
        <v>0.8255603699807198</v>
      </c>
      <c r="AE104" s="73">
        <f t="shared" si="76"/>
        <v>14.99090909090909</v>
      </c>
      <c r="AF104" s="71">
        <f t="shared" si="68"/>
        <v>16.886050140493545</v>
      </c>
      <c r="AG104" s="71">
        <f t="shared" si="85"/>
        <v>1.1405547573890482</v>
      </c>
      <c r="AH104" s="71">
        <f t="shared" si="86"/>
        <v>3.358346687566991</v>
      </c>
      <c r="AI104" s="74">
        <f t="shared" si="69"/>
        <v>4.4989014449560392</v>
      </c>
      <c r="AJ104" s="73">
        <f t="shared" si="70"/>
        <v>3.8800000000000003</v>
      </c>
      <c r="AK104" s="71">
        <f t="shared" si="87"/>
        <v>8.5907276728286028</v>
      </c>
      <c r="AL104" s="71">
        <f t="shared" si="88"/>
        <v>0.2952024077948126</v>
      </c>
      <c r="AM104" s="71">
        <f t="shared" ref="AM104:AM135" si="95">CHOOSE(V104,(R104+Vd_rect)*Qrr*Fsw,(R104+Vd_rect)*Qrr*Fsw)</f>
        <v>2.3804000000000003</v>
      </c>
      <c r="AN104" s="188">
        <f t="shared" si="89"/>
        <v>0.26140418011894645</v>
      </c>
      <c r="AO104" s="74">
        <f t="shared" si="72"/>
        <v>2.9370065879137597</v>
      </c>
      <c r="AP104" s="73">
        <f t="shared" si="90"/>
        <v>0.53840893694394765</v>
      </c>
      <c r="AQ104" s="206">
        <f t="shared" si="91"/>
        <v>0.8255603699807198</v>
      </c>
      <c r="AR104" s="206">
        <f t="shared" si="92"/>
        <v>3.0218089420955812</v>
      </c>
      <c r="AS104" s="71">
        <f t="shared" si="93"/>
        <v>0.16</v>
      </c>
      <c r="AT104" s="74">
        <f t="shared" si="94"/>
        <v>3.6299999999999995E-5</v>
      </c>
      <c r="AU104" s="73">
        <f t="shared" si="73"/>
        <v>12.807282951870768</v>
      </c>
      <c r="AV104" s="71">
        <f t="shared" si="74"/>
        <v>207.57999999999998</v>
      </c>
      <c r="AW104" s="74">
        <f t="shared" si="75"/>
        <v>94.188737761848216</v>
      </c>
    </row>
    <row r="105" spans="17:49" x14ac:dyDescent="0.25">
      <c r="Q105">
        <v>98</v>
      </c>
      <c r="R105" s="73">
        <f t="shared" si="49"/>
        <v>53.5</v>
      </c>
      <c r="S105" s="71">
        <f t="shared" si="79"/>
        <v>3.92</v>
      </c>
      <c r="T105" s="71">
        <f t="shared" si="51"/>
        <v>11</v>
      </c>
      <c r="U105" s="74">
        <f t="shared" si="80"/>
        <v>19.065454545454546</v>
      </c>
      <c r="V105" s="73">
        <f>IF(Variable_Management!$B$20=3,2,IF((S105*R105/T105)&lt;((T105*(1-(T105/R105)))/(2*Lm*Fsw)),1,2))</f>
        <v>2</v>
      </c>
      <c r="W105" s="71">
        <f t="shared" si="81"/>
        <v>0.79439252336448596</v>
      </c>
      <c r="X105" s="74">
        <f t="shared" si="82"/>
        <v>0.20560747663551404</v>
      </c>
      <c r="Y105" s="73">
        <f t="shared" si="83"/>
        <v>5.8255451713395638</v>
      </c>
      <c r="Z105" s="71">
        <f t="shared" si="77"/>
        <v>21.978227131124328</v>
      </c>
      <c r="AA105" s="71">
        <f t="shared" si="78"/>
        <v>19.139478530080257</v>
      </c>
      <c r="AB105" s="71">
        <v>0</v>
      </c>
      <c r="AC105" s="71">
        <f t="shared" si="84"/>
        <v>0.84253516832782716</v>
      </c>
      <c r="AD105" s="74">
        <f t="shared" si="67"/>
        <v>0.84253516832782716</v>
      </c>
      <c r="AE105" s="73">
        <f t="shared" si="76"/>
        <v>15.145454545454546</v>
      </c>
      <c r="AF105" s="71">
        <f t="shared" si="68"/>
        <v>17.058768475750103</v>
      </c>
      <c r="AG105" s="71">
        <f t="shared" si="85"/>
        <v>1.1640063276369821</v>
      </c>
      <c r="AH105" s="71">
        <f t="shared" si="86"/>
        <v>3.3929688183666507</v>
      </c>
      <c r="AI105" s="74">
        <f t="shared" si="69"/>
        <v>4.5569751460036327</v>
      </c>
      <c r="AJ105" s="73">
        <f t="shared" si="70"/>
        <v>3.9200000000000008</v>
      </c>
      <c r="AK105" s="71">
        <f t="shared" si="87"/>
        <v>8.678597611028966</v>
      </c>
      <c r="AL105" s="71">
        <f t="shared" si="88"/>
        <v>0.30127222597663073</v>
      </c>
      <c r="AM105" s="71">
        <f t="shared" si="95"/>
        <v>2.3804000000000003</v>
      </c>
      <c r="AN105" s="188">
        <f t="shared" si="89"/>
        <v>0.26373872557349193</v>
      </c>
      <c r="AO105" s="74">
        <f t="shared" si="72"/>
        <v>2.945410951550123</v>
      </c>
      <c r="AP105" s="73">
        <f t="shared" si="90"/>
        <v>0.54947945760510475</v>
      </c>
      <c r="AQ105" s="206">
        <f t="shared" si="91"/>
        <v>0.84253516832782716</v>
      </c>
      <c r="AR105" s="206">
        <f t="shared" si="92"/>
        <v>3.0218089420955812</v>
      </c>
      <c r="AS105" s="71">
        <f t="shared" si="93"/>
        <v>0.16</v>
      </c>
      <c r="AT105" s="74">
        <f t="shared" si="94"/>
        <v>3.6299999999999995E-5</v>
      </c>
      <c r="AU105" s="73">
        <f t="shared" si="73"/>
        <v>12.918781133910098</v>
      </c>
      <c r="AV105" s="71">
        <f t="shared" si="74"/>
        <v>209.72</v>
      </c>
      <c r="AW105" s="74">
        <f t="shared" si="75"/>
        <v>94.197425503268519</v>
      </c>
    </row>
    <row r="106" spans="17:49" x14ac:dyDescent="0.25">
      <c r="Q106">
        <v>99</v>
      </c>
      <c r="R106" s="73">
        <f t="shared" si="49"/>
        <v>53.5</v>
      </c>
      <c r="S106" s="71">
        <f t="shared" si="79"/>
        <v>3.96</v>
      </c>
      <c r="T106" s="71">
        <f t="shared" si="51"/>
        <v>11</v>
      </c>
      <c r="U106" s="74">
        <f t="shared" si="80"/>
        <v>19.259999999999998</v>
      </c>
      <c r="V106" s="73">
        <f>IF(Variable_Management!$B$20=3,2,IF((S106*R106/T106)&lt;((T106*(1-(T106/R106)))/(2*Lm*Fsw)),1,2))</f>
        <v>2</v>
      </c>
      <c r="W106" s="71">
        <f t="shared" si="81"/>
        <v>0.79439252336448596</v>
      </c>
      <c r="X106" s="74">
        <f t="shared" si="82"/>
        <v>0.20560747663551404</v>
      </c>
      <c r="Y106" s="73">
        <f t="shared" si="83"/>
        <v>5.8255451713395638</v>
      </c>
      <c r="Z106" s="71">
        <f t="shared" si="77"/>
        <v>22.172772585669779</v>
      </c>
      <c r="AA106" s="71">
        <f t="shared" si="78"/>
        <v>19.333279116037449</v>
      </c>
      <c r="AB106" s="71">
        <v>0</v>
      </c>
      <c r="AC106" s="71">
        <f t="shared" si="84"/>
        <v>0.85968406717080248</v>
      </c>
      <c r="AD106" s="74">
        <f t="shared" si="67"/>
        <v>0.85968406717080248</v>
      </c>
      <c r="AE106" s="73">
        <f t="shared" si="76"/>
        <v>15.299999999999997</v>
      </c>
      <c r="AF106" s="71">
        <f t="shared" si="68"/>
        <v>17.231500419366675</v>
      </c>
      <c r="AG106" s="71">
        <f t="shared" si="85"/>
        <v>1.1876984268105357</v>
      </c>
      <c r="AH106" s="71">
        <f t="shared" si="86"/>
        <v>3.4275909491663099</v>
      </c>
      <c r="AI106" s="74">
        <f t="shared" si="69"/>
        <v>4.6152893759768459</v>
      </c>
      <c r="AJ106" s="73">
        <f t="shared" si="70"/>
        <v>3.96</v>
      </c>
      <c r="AK106" s="71">
        <f t="shared" si="87"/>
        <v>8.7664744724419208</v>
      </c>
      <c r="AL106" s="71">
        <f t="shared" si="88"/>
        <v>0.3074042987039034</v>
      </c>
      <c r="AM106" s="71">
        <f t="shared" si="95"/>
        <v>2.3804000000000003</v>
      </c>
      <c r="AN106" s="188">
        <f t="shared" si="89"/>
        <v>0.26607327102803735</v>
      </c>
      <c r="AO106" s="74">
        <f t="shared" si="72"/>
        <v>2.953877569731941</v>
      </c>
      <c r="AP106" s="73">
        <f t="shared" si="90"/>
        <v>0.5606635220679147</v>
      </c>
      <c r="AQ106" s="206">
        <f t="shared" si="91"/>
        <v>0.85968406717080248</v>
      </c>
      <c r="AR106" s="206">
        <f t="shared" si="92"/>
        <v>3.0218089420955812</v>
      </c>
      <c r="AS106" s="71">
        <f t="shared" si="93"/>
        <v>0.16</v>
      </c>
      <c r="AT106" s="74">
        <f t="shared" si="94"/>
        <v>3.6299999999999995E-5</v>
      </c>
      <c r="AU106" s="73">
        <f t="shared" si="73"/>
        <v>13.031043844213887</v>
      </c>
      <c r="AV106" s="71">
        <f t="shared" si="74"/>
        <v>211.85999999999999</v>
      </c>
      <c r="AW106" s="74">
        <f t="shared" si="75"/>
        <v>94.205619031569483</v>
      </c>
    </row>
    <row r="107" spans="17:49" x14ac:dyDescent="0.25">
      <c r="Q107">
        <v>100</v>
      </c>
      <c r="R107" s="73">
        <f t="shared" si="49"/>
        <v>53.5</v>
      </c>
      <c r="S107" s="71">
        <f t="shared" si="79"/>
        <v>4</v>
      </c>
      <c r="T107" s="71">
        <f t="shared" si="51"/>
        <v>11</v>
      </c>
      <c r="U107" s="74">
        <f t="shared" si="80"/>
        <v>19.454545454545453</v>
      </c>
      <c r="V107" s="73">
        <f>IF(Variable_Management!$B$20=3,2,IF((S107*R107/T107)&lt;((T107*(1-(T107/R107)))/(2*Lm*Fsw)),1,2))</f>
        <v>2</v>
      </c>
      <c r="W107" s="71">
        <f t="shared" si="81"/>
        <v>0.79439252336448596</v>
      </c>
      <c r="X107" s="74">
        <f t="shared" si="82"/>
        <v>0.20560747663551404</v>
      </c>
      <c r="Y107" s="73">
        <f t="shared" si="83"/>
        <v>5.8255451713395638</v>
      </c>
      <c r="Z107" s="71">
        <f t="shared" si="77"/>
        <v>22.367318040215235</v>
      </c>
      <c r="AA107" s="71">
        <f t="shared" si="78"/>
        <v>19.527094515610482</v>
      </c>
      <c r="AB107" s="71">
        <v>0</v>
      </c>
      <c r="AC107" s="71">
        <f t="shared" si="84"/>
        <v>0.87700706650964533</v>
      </c>
      <c r="AD107" s="74">
        <f t="shared" si="67"/>
        <v>0.87700706650964533</v>
      </c>
      <c r="AE107" s="73">
        <f t="shared" si="76"/>
        <v>15.454545454545453</v>
      </c>
      <c r="AF107" s="71">
        <f t="shared" si="68"/>
        <v>17.40424556616653</v>
      </c>
      <c r="AG107" s="71">
        <f t="shared" si="85"/>
        <v>1.2116310549097093</v>
      </c>
      <c r="AH107" s="71">
        <f t="shared" si="86"/>
        <v>3.4622130799659701</v>
      </c>
      <c r="AI107" s="74">
        <f t="shared" si="69"/>
        <v>4.6738441348756794</v>
      </c>
      <c r="AJ107" s="73">
        <f t="shared" si="70"/>
        <v>4</v>
      </c>
      <c r="AK107" s="71">
        <f t="shared" si="87"/>
        <v>8.8543580509350122</v>
      </c>
      <c r="AL107" s="71">
        <f t="shared" si="88"/>
        <v>0.31359862597663068</v>
      </c>
      <c r="AM107" s="71">
        <f t="shared" si="95"/>
        <v>2.3804000000000003</v>
      </c>
      <c r="AN107" s="188">
        <f t="shared" si="89"/>
        <v>0.26840781648258283</v>
      </c>
      <c r="AO107" s="74">
        <f t="shared" si="72"/>
        <v>2.9624064424592138</v>
      </c>
      <c r="AP107" s="73">
        <f t="shared" si="90"/>
        <v>0.57196113033237739</v>
      </c>
      <c r="AQ107" s="206">
        <f t="shared" si="91"/>
        <v>0.87700706650964533</v>
      </c>
      <c r="AR107" s="206">
        <f t="shared" si="92"/>
        <v>3.0218089420955812</v>
      </c>
      <c r="AS107" s="71">
        <f t="shared" si="93"/>
        <v>0.16</v>
      </c>
      <c r="AT107" s="74">
        <f t="shared" si="94"/>
        <v>3.6299999999999995E-5</v>
      </c>
      <c r="AU107" s="73">
        <f t="shared" si="73"/>
        <v>13.144071082782141</v>
      </c>
      <c r="AV107" s="71">
        <f t="shared" si="74"/>
        <v>214</v>
      </c>
      <c r="AW107" s="74">
        <f t="shared" si="75"/>
        <v>94.213332965229895</v>
      </c>
    </row>
    <row r="108" spans="17:49" x14ac:dyDescent="0.25">
      <c r="Q108">
        <v>101</v>
      </c>
      <c r="R108" s="73">
        <f t="shared" si="49"/>
        <v>53.5</v>
      </c>
      <c r="S108" s="71">
        <f t="shared" si="79"/>
        <v>4.04</v>
      </c>
      <c r="T108" s="71">
        <f t="shared" si="51"/>
        <v>11</v>
      </c>
      <c r="U108" s="74">
        <f t="shared" si="80"/>
        <v>19.649090909090912</v>
      </c>
      <c r="V108" s="73">
        <f>IF(Variable_Management!$B$20=3,2,IF((S108*R108/T108)&lt;((T108*(1-(T108/R108)))/(2*Lm*Fsw)),1,2))</f>
        <v>2</v>
      </c>
      <c r="W108" s="71">
        <f t="shared" si="81"/>
        <v>0.79439252336448596</v>
      </c>
      <c r="X108" s="74">
        <f t="shared" si="82"/>
        <v>0.20560747663551404</v>
      </c>
      <c r="Y108" s="73">
        <f t="shared" si="83"/>
        <v>5.8255451713395638</v>
      </c>
      <c r="Z108" s="71">
        <f t="shared" si="77"/>
        <v>22.561863494760694</v>
      </c>
      <c r="AA108" s="71">
        <f t="shared" si="78"/>
        <v>19.720924292038873</v>
      </c>
      <c r="AB108" s="71">
        <v>0</v>
      </c>
      <c r="AC108" s="71">
        <f t="shared" si="84"/>
        <v>0.89450416634435648</v>
      </c>
      <c r="AD108" s="74">
        <f t="shared" si="67"/>
        <v>0.89450416634435648</v>
      </c>
      <c r="AE108" s="73">
        <f t="shared" si="76"/>
        <v>15.609090909090911</v>
      </c>
      <c r="AF108" s="71">
        <f t="shared" si="68"/>
        <v>17.577003526870719</v>
      </c>
      <c r="AG108" s="71">
        <f t="shared" si="85"/>
        <v>1.2358042119345027</v>
      </c>
      <c r="AH108" s="71">
        <f t="shared" si="86"/>
        <v>3.4968352107656306</v>
      </c>
      <c r="AI108" s="74">
        <f t="shared" si="69"/>
        <v>4.7326394227001334</v>
      </c>
      <c r="AJ108" s="73">
        <f t="shared" si="70"/>
        <v>4.0400000000000009</v>
      </c>
      <c r="AK108" s="71">
        <f t="shared" si="87"/>
        <v>8.9422481484637366</v>
      </c>
      <c r="AL108" s="71">
        <f t="shared" si="88"/>
        <v>0.31985520779481247</v>
      </c>
      <c r="AM108" s="71">
        <f t="shared" si="95"/>
        <v>2.3804000000000003</v>
      </c>
      <c r="AN108" s="188">
        <f t="shared" si="89"/>
        <v>0.27074236193712831</v>
      </c>
      <c r="AO108" s="74">
        <f t="shared" si="72"/>
        <v>2.9709975697319413</v>
      </c>
      <c r="AP108" s="73">
        <f t="shared" si="90"/>
        <v>0.58337228239849337</v>
      </c>
      <c r="AQ108" s="206">
        <f t="shared" si="91"/>
        <v>0.89450416634435648</v>
      </c>
      <c r="AR108" s="206">
        <f t="shared" si="92"/>
        <v>3.0218089420955812</v>
      </c>
      <c r="AS108" s="71">
        <f t="shared" si="93"/>
        <v>0.16</v>
      </c>
      <c r="AT108" s="74">
        <f t="shared" si="94"/>
        <v>3.6299999999999995E-5</v>
      </c>
      <c r="AU108" s="73">
        <f t="shared" si="73"/>
        <v>13.257862849614863</v>
      </c>
      <c r="AV108" s="71">
        <f t="shared" si="74"/>
        <v>216.14000000000001</v>
      </c>
      <c r="AW108" s="74">
        <f t="shared" si="75"/>
        <v>94.22058135811568</v>
      </c>
    </row>
    <row r="109" spans="17:49" x14ac:dyDescent="0.25">
      <c r="Q109">
        <v>102</v>
      </c>
      <c r="R109" s="73">
        <f t="shared" si="49"/>
        <v>53.5</v>
      </c>
      <c r="S109" s="71">
        <f t="shared" si="79"/>
        <v>4.08</v>
      </c>
      <c r="T109" s="71">
        <f t="shared" si="51"/>
        <v>11</v>
      </c>
      <c r="U109" s="74">
        <f t="shared" si="80"/>
        <v>19.843636363636364</v>
      </c>
      <c r="V109" s="73">
        <f>IF(Variable_Management!$B$20=3,2,IF((S109*R109/T109)&lt;((T109*(1-(T109/R109)))/(2*Lm*Fsw)),1,2))</f>
        <v>2</v>
      </c>
      <c r="W109" s="71">
        <f t="shared" si="81"/>
        <v>0.79439252336448596</v>
      </c>
      <c r="X109" s="74">
        <f t="shared" si="82"/>
        <v>0.20560747663551404</v>
      </c>
      <c r="Y109" s="73">
        <f t="shared" si="83"/>
        <v>5.8255451713395638</v>
      </c>
      <c r="Z109" s="71">
        <f t="shared" si="77"/>
        <v>22.756408949306145</v>
      </c>
      <c r="AA109" s="71">
        <f t="shared" si="78"/>
        <v>19.914768025534247</v>
      </c>
      <c r="AB109" s="71">
        <v>0</v>
      </c>
      <c r="AC109" s="71">
        <f t="shared" si="84"/>
        <v>0.91217536667493482</v>
      </c>
      <c r="AD109" s="74">
        <f t="shared" si="67"/>
        <v>0.91217536667493482</v>
      </c>
      <c r="AE109" s="73">
        <f t="shared" si="76"/>
        <v>15.763636363636364</v>
      </c>
      <c r="AF109" s="71">
        <f t="shared" si="68"/>
        <v>17.749773927327325</v>
      </c>
      <c r="AG109" s="71">
        <f t="shared" si="85"/>
        <v>1.2602178978849157</v>
      </c>
      <c r="AH109" s="71">
        <f t="shared" si="86"/>
        <v>3.5314573415652903</v>
      </c>
      <c r="AI109" s="74">
        <f t="shared" si="69"/>
        <v>4.791675239450206</v>
      </c>
      <c r="AJ109" s="73">
        <f t="shared" si="70"/>
        <v>4.08</v>
      </c>
      <c r="AK109" s="71">
        <f t="shared" si="87"/>
        <v>9.0301445746794222</v>
      </c>
      <c r="AL109" s="71">
        <f t="shared" si="88"/>
        <v>0.32617404415844881</v>
      </c>
      <c r="AM109" s="71">
        <f t="shared" si="95"/>
        <v>2.3804000000000003</v>
      </c>
      <c r="AN109" s="188">
        <f t="shared" si="89"/>
        <v>0.27307690739167373</v>
      </c>
      <c r="AO109" s="74">
        <f t="shared" si="72"/>
        <v>2.9796509515501231</v>
      </c>
      <c r="AP109" s="73">
        <f t="shared" si="90"/>
        <v>0.59489697826626187</v>
      </c>
      <c r="AQ109" s="206">
        <f t="shared" si="91"/>
        <v>0.91217536667493482</v>
      </c>
      <c r="AR109" s="206">
        <f t="shared" si="92"/>
        <v>3.0218089420955812</v>
      </c>
      <c r="AS109" s="71">
        <f t="shared" si="93"/>
        <v>0.16</v>
      </c>
      <c r="AT109" s="74">
        <f t="shared" si="94"/>
        <v>3.6299999999999995E-5</v>
      </c>
      <c r="AU109" s="73">
        <f t="shared" si="73"/>
        <v>13.37241914471204</v>
      </c>
      <c r="AV109" s="71">
        <f t="shared" si="74"/>
        <v>218.28</v>
      </c>
      <c r="AW109" s="74">
        <f t="shared" si="75"/>
        <v>94.227377726472881</v>
      </c>
    </row>
    <row r="110" spans="17:49" x14ac:dyDescent="0.25">
      <c r="Q110">
        <v>103</v>
      </c>
      <c r="R110" s="73">
        <f t="shared" si="49"/>
        <v>53.5</v>
      </c>
      <c r="S110" s="71">
        <f t="shared" si="79"/>
        <v>4.12</v>
      </c>
      <c r="T110" s="71">
        <f t="shared" si="51"/>
        <v>11</v>
      </c>
      <c r="U110" s="74">
        <f t="shared" si="80"/>
        <v>20.038181818181819</v>
      </c>
      <c r="V110" s="73">
        <f>IF(Variable_Management!$B$20=3,2,IF((S110*R110/T110)&lt;((T110*(1-(T110/R110)))/(2*Lm*Fsw)),1,2))</f>
        <v>2</v>
      </c>
      <c r="W110" s="71">
        <f t="shared" si="81"/>
        <v>0.79439252336448596</v>
      </c>
      <c r="X110" s="74">
        <f t="shared" si="82"/>
        <v>0.20560747663551404</v>
      </c>
      <c r="Y110" s="73">
        <f t="shared" si="83"/>
        <v>5.8255451713395638</v>
      </c>
      <c r="Z110" s="71">
        <f t="shared" si="77"/>
        <v>22.9509544038516</v>
      </c>
      <c r="AA110" s="71">
        <f t="shared" si="78"/>
        <v>20.10862531246535</v>
      </c>
      <c r="AB110" s="71">
        <v>0</v>
      </c>
      <c r="AC110" s="71">
        <f t="shared" si="84"/>
        <v>0.93002066750138102</v>
      </c>
      <c r="AD110" s="74">
        <f t="shared" si="67"/>
        <v>0.93002066750138102</v>
      </c>
      <c r="AE110" s="73">
        <f t="shared" si="76"/>
        <v>15.918181818181818</v>
      </c>
      <c r="AF110" s="71">
        <f t="shared" si="68"/>
        <v>17.922556407785056</v>
      </c>
      <c r="AG110" s="71">
        <f t="shared" si="85"/>
        <v>1.2848721127609486</v>
      </c>
      <c r="AH110" s="71">
        <f t="shared" si="86"/>
        <v>3.5660794723649492</v>
      </c>
      <c r="AI110" s="74">
        <f t="shared" si="69"/>
        <v>4.8509515851258982</v>
      </c>
      <c r="AJ110" s="73">
        <f t="shared" si="70"/>
        <v>4.120000000000001</v>
      </c>
      <c r="AK110" s="71">
        <f t="shared" si="87"/>
        <v>9.11804714655967</v>
      </c>
      <c r="AL110" s="71">
        <f t="shared" si="88"/>
        <v>0.33255513506753975</v>
      </c>
      <c r="AM110" s="71">
        <f t="shared" si="95"/>
        <v>2.3804000000000003</v>
      </c>
      <c r="AN110" s="188">
        <f t="shared" si="89"/>
        <v>0.27541145284621921</v>
      </c>
      <c r="AO110" s="74">
        <f t="shared" si="72"/>
        <v>2.9883665879137595</v>
      </c>
      <c r="AP110" s="73">
        <f t="shared" si="90"/>
        <v>0.60653521793568332</v>
      </c>
      <c r="AQ110" s="206">
        <f t="shared" si="91"/>
        <v>0.93002066750138102</v>
      </c>
      <c r="AR110" s="206">
        <f t="shared" si="92"/>
        <v>3.0218089420955812</v>
      </c>
      <c r="AS110" s="71">
        <f t="shared" si="93"/>
        <v>0.16</v>
      </c>
      <c r="AT110" s="74">
        <f t="shared" si="94"/>
        <v>3.6299999999999995E-5</v>
      </c>
      <c r="AU110" s="73">
        <f t="shared" si="73"/>
        <v>13.487739968073683</v>
      </c>
      <c r="AV110" s="71">
        <f t="shared" si="74"/>
        <v>220.42000000000002</v>
      </c>
      <c r="AW110" s="74">
        <f t="shared" si="75"/>
        <v>94.233735074386743</v>
      </c>
    </row>
    <row r="111" spans="17:49" x14ac:dyDescent="0.25">
      <c r="Q111">
        <v>104</v>
      </c>
      <c r="R111" s="73">
        <f t="shared" si="49"/>
        <v>53.5</v>
      </c>
      <c r="S111" s="71">
        <f t="shared" si="79"/>
        <v>4.16</v>
      </c>
      <c r="T111" s="71">
        <f t="shared" si="51"/>
        <v>11</v>
      </c>
      <c r="U111" s="74">
        <f t="shared" si="80"/>
        <v>20.232727272727274</v>
      </c>
      <c r="V111" s="73">
        <f>IF(Variable_Management!$B$20=3,2,IF((S111*R111/T111)&lt;((T111*(1-(T111/R111)))/(2*Lm*Fsw)),1,2))</f>
        <v>2</v>
      </c>
      <c r="W111" s="71">
        <f t="shared" si="81"/>
        <v>0.79439252336448596</v>
      </c>
      <c r="X111" s="74">
        <f t="shared" si="82"/>
        <v>0.20560747663551404</v>
      </c>
      <c r="Y111" s="73">
        <f t="shared" si="83"/>
        <v>5.8255451713395638</v>
      </c>
      <c r="Z111" s="71">
        <f t="shared" si="77"/>
        <v>23.145499858397056</v>
      </c>
      <c r="AA111" s="71">
        <f t="shared" si="78"/>
        <v>20.302495764589434</v>
      </c>
      <c r="AB111" s="71">
        <v>0</v>
      </c>
      <c r="AC111" s="71">
        <f t="shared" si="84"/>
        <v>0.9480400688236954</v>
      </c>
      <c r="AD111" s="74">
        <f t="shared" si="67"/>
        <v>0.9480400688236954</v>
      </c>
      <c r="AE111" s="73">
        <f t="shared" si="76"/>
        <v>16.072727272727274</v>
      </c>
      <c r="AF111" s="71">
        <f t="shared" si="68"/>
        <v>18.095350622208194</v>
      </c>
      <c r="AG111" s="71">
        <f t="shared" si="85"/>
        <v>1.3097668565626019</v>
      </c>
      <c r="AH111" s="71">
        <f t="shared" si="86"/>
        <v>3.6007016031646093</v>
      </c>
      <c r="AI111" s="74">
        <f t="shared" si="69"/>
        <v>4.9104684597272108</v>
      </c>
      <c r="AJ111" s="73">
        <f t="shared" si="70"/>
        <v>4.160000000000001</v>
      </c>
      <c r="AK111" s="71">
        <f t="shared" si="87"/>
        <v>9.2059556880598397</v>
      </c>
      <c r="AL111" s="71">
        <f t="shared" si="88"/>
        <v>0.33899848052208531</v>
      </c>
      <c r="AM111" s="71">
        <f t="shared" si="95"/>
        <v>2.3804000000000003</v>
      </c>
      <c r="AN111" s="188">
        <f t="shared" si="89"/>
        <v>0.27774599830076468</v>
      </c>
      <c r="AO111" s="74">
        <f t="shared" si="72"/>
        <v>2.9971444788228503</v>
      </c>
      <c r="AP111" s="73">
        <f t="shared" si="90"/>
        <v>0.61828700140675785</v>
      </c>
      <c r="AQ111" s="206">
        <f t="shared" si="91"/>
        <v>0.9480400688236954</v>
      </c>
      <c r="AR111" s="206">
        <f t="shared" si="92"/>
        <v>3.0218089420955812</v>
      </c>
      <c r="AS111" s="71">
        <f t="shared" si="93"/>
        <v>0.16</v>
      </c>
      <c r="AT111" s="74">
        <f t="shared" si="94"/>
        <v>3.6299999999999995E-5</v>
      </c>
      <c r="AU111" s="73">
        <f t="shared" si="73"/>
        <v>13.603825319699791</v>
      </c>
      <c r="AV111" s="71">
        <f t="shared" si="74"/>
        <v>222.56</v>
      </c>
      <c r="AW111" s="74">
        <f t="shared" si="75"/>
        <v>94.239665917807685</v>
      </c>
    </row>
    <row r="112" spans="17:49" x14ac:dyDescent="0.25">
      <c r="Q112">
        <v>105</v>
      </c>
      <c r="R112" s="73">
        <f t="shared" si="49"/>
        <v>53.5</v>
      </c>
      <c r="S112" s="71">
        <f t="shared" si="79"/>
        <v>4.2</v>
      </c>
      <c r="T112" s="71">
        <f t="shared" si="51"/>
        <v>11</v>
      </c>
      <c r="U112" s="74">
        <f t="shared" si="80"/>
        <v>20.427272727272729</v>
      </c>
      <c r="V112" s="73">
        <f>IF(Variable_Management!$B$20=3,2,IF((S112*R112/T112)&lt;((T112*(1-(T112/R112)))/(2*Lm*Fsw)),1,2))</f>
        <v>2</v>
      </c>
      <c r="W112" s="71">
        <f t="shared" si="81"/>
        <v>0.79439252336448596</v>
      </c>
      <c r="X112" s="74">
        <f t="shared" si="82"/>
        <v>0.20560747663551404</v>
      </c>
      <c r="Y112" s="73">
        <f t="shared" si="83"/>
        <v>5.8255451713395638</v>
      </c>
      <c r="Z112" s="71">
        <f t="shared" si="77"/>
        <v>23.340045312942511</v>
      </c>
      <c r="AA112" s="71">
        <f t="shared" si="78"/>
        <v>20.496379008327057</v>
      </c>
      <c r="AB112" s="71">
        <v>0</v>
      </c>
      <c r="AC112" s="71">
        <f t="shared" si="84"/>
        <v>0.96623357064187709</v>
      </c>
      <c r="AD112" s="74">
        <f t="shared" si="67"/>
        <v>0.96623357064187709</v>
      </c>
      <c r="AE112" s="73">
        <f t="shared" si="76"/>
        <v>16.22727272727273</v>
      </c>
      <c r="AF112" s="71">
        <f t="shared" si="68"/>
        <v>18.26815623763024</v>
      </c>
      <c r="AG112" s="71">
        <f t="shared" si="85"/>
        <v>1.3349021292898746</v>
      </c>
      <c r="AH112" s="71">
        <f t="shared" si="86"/>
        <v>3.635323733964269</v>
      </c>
      <c r="AI112" s="74">
        <f t="shared" si="69"/>
        <v>4.9702258632541438</v>
      </c>
      <c r="AJ112" s="73">
        <f t="shared" si="70"/>
        <v>4.2000000000000011</v>
      </c>
      <c r="AK112" s="71">
        <f t="shared" si="87"/>
        <v>9.2938700297842178</v>
      </c>
      <c r="AL112" s="71">
        <f t="shared" si="88"/>
        <v>0.3455040805220852</v>
      </c>
      <c r="AM112" s="71">
        <f t="shared" si="95"/>
        <v>2.3804000000000003</v>
      </c>
      <c r="AN112" s="188">
        <f t="shared" si="89"/>
        <v>0.28008054375531016</v>
      </c>
      <c r="AO112" s="74">
        <f t="shared" si="72"/>
        <v>3.0059846242773953</v>
      </c>
      <c r="AP112" s="73">
        <f t="shared" si="90"/>
        <v>0.63015232867948512</v>
      </c>
      <c r="AQ112" s="206">
        <f t="shared" si="91"/>
        <v>0.96623357064187709</v>
      </c>
      <c r="AR112" s="206">
        <f t="shared" si="92"/>
        <v>3.0218089420955812</v>
      </c>
      <c r="AS112" s="71">
        <f t="shared" si="93"/>
        <v>0.16</v>
      </c>
      <c r="AT112" s="74">
        <f t="shared" si="94"/>
        <v>3.6299999999999995E-5</v>
      </c>
      <c r="AU112" s="73">
        <f t="shared" si="73"/>
        <v>13.72067519959036</v>
      </c>
      <c r="AV112" s="71">
        <f t="shared" si="74"/>
        <v>224.70000000000002</v>
      </c>
      <c r="AW112" s="74">
        <f t="shared" si="75"/>
        <v>94.245182307237272</v>
      </c>
    </row>
    <row r="113" spans="17:49" x14ac:dyDescent="0.25">
      <c r="Q113">
        <v>106</v>
      </c>
      <c r="R113" s="73">
        <f t="shared" si="49"/>
        <v>53.5</v>
      </c>
      <c r="S113" s="71">
        <f t="shared" si="79"/>
        <v>4.24</v>
      </c>
      <c r="T113" s="71">
        <f t="shared" si="51"/>
        <v>11</v>
      </c>
      <c r="U113" s="74">
        <f t="shared" si="80"/>
        <v>20.621818181818181</v>
      </c>
      <c r="V113" s="73">
        <f>IF(Variable_Management!$B$20=3,2,IF((S113*R113/T113)&lt;((T113*(1-(T113/R113)))/(2*Lm*Fsw)),1,2))</f>
        <v>2</v>
      </c>
      <c r="W113" s="71">
        <f t="shared" si="81"/>
        <v>0.79439252336448596</v>
      </c>
      <c r="X113" s="74">
        <f t="shared" si="82"/>
        <v>0.20560747663551404</v>
      </c>
      <c r="Y113" s="73">
        <f t="shared" si="83"/>
        <v>5.8255451713395638</v>
      </c>
      <c r="Z113" s="71">
        <f t="shared" si="77"/>
        <v>23.534590767487963</v>
      </c>
      <c r="AA113" s="71">
        <f t="shared" si="78"/>
        <v>20.690274684077462</v>
      </c>
      <c r="AB113" s="71">
        <v>0</v>
      </c>
      <c r="AC113" s="71">
        <f t="shared" si="84"/>
        <v>0.98460117295592642</v>
      </c>
      <c r="AD113" s="74">
        <f t="shared" si="67"/>
        <v>0.98460117295592642</v>
      </c>
      <c r="AE113" s="73">
        <f t="shared" si="76"/>
        <v>16.381818181818179</v>
      </c>
      <c r="AF113" s="71">
        <f t="shared" si="68"/>
        <v>18.440972933543708</v>
      </c>
      <c r="AG113" s="71">
        <f t="shared" si="85"/>
        <v>1.3602779309427666</v>
      </c>
      <c r="AH113" s="71">
        <f t="shared" si="86"/>
        <v>3.6699458647639287</v>
      </c>
      <c r="AI113" s="74">
        <f t="shared" si="69"/>
        <v>5.0302237957066955</v>
      </c>
      <c r="AJ113" s="73">
        <f t="shared" si="70"/>
        <v>4.24</v>
      </c>
      <c r="AK113" s="71">
        <f t="shared" si="87"/>
        <v>9.3817900086755799</v>
      </c>
      <c r="AL113" s="71">
        <f t="shared" si="88"/>
        <v>0.35207193506753975</v>
      </c>
      <c r="AM113" s="71">
        <f t="shared" si="95"/>
        <v>2.3804000000000003</v>
      </c>
      <c r="AN113" s="188">
        <f t="shared" si="89"/>
        <v>0.28241508920985553</v>
      </c>
      <c r="AO113" s="74">
        <f t="shared" si="72"/>
        <v>3.0148870242773955</v>
      </c>
      <c r="AP113" s="73">
        <f t="shared" si="90"/>
        <v>0.64213119975386512</v>
      </c>
      <c r="AQ113" s="206">
        <f t="shared" si="91"/>
        <v>0.98460117295592642</v>
      </c>
      <c r="AR113" s="206">
        <f t="shared" si="92"/>
        <v>3.0218089420955812</v>
      </c>
      <c r="AS113" s="71">
        <f t="shared" si="93"/>
        <v>0.16</v>
      </c>
      <c r="AT113" s="74">
        <f t="shared" si="94"/>
        <v>3.6299999999999995E-5</v>
      </c>
      <c r="AU113" s="73">
        <f t="shared" si="73"/>
        <v>13.838289607745391</v>
      </c>
      <c r="AV113" s="71">
        <f t="shared" si="74"/>
        <v>226.84</v>
      </c>
      <c r="AW113" s="74">
        <f t="shared" si="75"/>
        <v>94.250295849160764</v>
      </c>
    </row>
    <row r="114" spans="17:49" x14ac:dyDescent="0.25">
      <c r="Q114">
        <v>107</v>
      </c>
      <c r="R114" s="73">
        <f t="shared" si="49"/>
        <v>53.5</v>
      </c>
      <c r="S114" s="71">
        <f t="shared" si="79"/>
        <v>4.28</v>
      </c>
      <c r="T114" s="71">
        <f t="shared" si="51"/>
        <v>11</v>
      </c>
      <c r="U114" s="74">
        <f t="shared" si="80"/>
        <v>20.816363636363636</v>
      </c>
      <c r="V114" s="73">
        <f>IF(Variable_Management!$B$20=3,2,IF((S114*R114/T114)&lt;((T114*(1-(T114/R114)))/(2*Lm*Fsw)),1,2))</f>
        <v>2</v>
      </c>
      <c r="W114" s="71">
        <f t="shared" si="81"/>
        <v>0.79439252336448596</v>
      </c>
      <c r="X114" s="74">
        <f t="shared" si="82"/>
        <v>0.20560747663551404</v>
      </c>
      <c r="Y114" s="73">
        <f t="shared" si="83"/>
        <v>5.8255451713395638</v>
      </c>
      <c r="Z114" s="71">
        <f t="shared" si="77"/>
        <v>23.729136222033418</v>
      </c>
      <c r="AA114" s="71">
        <f t="shared" si="78"/>
        <v>20.884182445571867</v>
      </c>
      <c r="AB114" s="71">
        <v>0</v>
      </c>
      <c r="AC114" s="71">
        <f t="shared" si="84"/>
        <v>1.0031428757658438</v>
      </c>
      <c r="AD114" s="74">
        <f t="shared" si="67"/>
        <v>1.0031428757658438</v>
      </c>
      <c r="AE114" s="73">
        <f t="shared" si="76"/>
        <v>16.536363636363635</v>
      </c>
      <c r="AF114" s="71">
        <f t="shared" si="68"/>
        <v>18.61380040132374</v>
      </c>
      <c r="AG114" s="71">
        <f t="shared" si="85"/>
        <v>1.3858942615212793</v>
      </c>
      <c r="AH114" s="71">
        <f t="shared" si="86"/>
        <v>3.704567995563588</v>
      </c>
      <c r="AI114" s="74">
        <f t="shared" si="69"/>
        <v>5.0904622570848677</v>
      </c>
      <c r="AJ114" s="73">
        <f t="shared" si="70"/>
        <v>4.28</v>
      </c>
      <c r="AK114" s="71">
        <f t="shared" si="87"/>
        <v>9.4697154677219419</v>
      </c>
      <c r="AL114" s="71">
        <f t="shared" si="88"/>
        <v>0.35870204415844881</v>
      </c>
      <c r="AM114" s="71">
        <f t="shared" si="95"/>
        <v>2.3804000000000003</v>
      </c>
      <c r="AN114" s="188">
        <f t="shared" si="89"/>
        <v>0.28474963466440101</v>
      </c>
      <c r="AO114" s="74">
        <f t="shared" si="72"/>
        <v>3.0238516788228504</v>
      </c>
      <c r="AP114" s="73">
        <f t="shared" si="90"/>
        <v>0.6542236146298982</v>
      </c>
      <c r="AQ114" s="206">
        <f t="shared" si="91"/>
        <v>1.0031428757658438</v>
      </c>
      <c r="AR114" s="206">
        <f t="shared" si="92"/>
        <v>3.0218089420955812</v>
      </c>
      <c r="AS114" s="71">
        <f t="shared" si="93"/>
        <v>0.16</v>
      </c>
      <c r="AT114" s="74">
        <f t="shared" si="94"/>
        <v>3.6299999999999995E-5</v>
      </c>
      <c r="AU114" s="73">
        <f t="shared" si="73"/>
        <v>13.956668544164884</v>
      </c>
      <c r="AV114" s="71">
        <f t="shared" si="74"/>
        <v>228.98000000000002</v>
      </c>
      <c r="AW114" s="74">
        <f t="shared" si="75"/>
        <v>94.255017726306065</v>
      </c>
    </row>
    <row r="115" spans="17:49" x14ac:dyDescent="0.25">
      <c r="Q115">
        <v>108</v>
      </c>
      <c r="R115" s="73">
        <f t="shared" si="49"/>
        <v>53.5</v>
      </c>
      <c r="S115" s="71">
        <f t="shared" si="79"/>
        <v>4.32</v>
      </c>
      <c r="T115" s="71">
        <f t="shared" si="51"/>
        <v>11</v>
      </c>
      <c r="U115" s="74">
        <f t="shared" si="80"/>
        <v>21.010909090909092</v>
      </c>
      <c r="V115" s="73">
        <f>IF(Variable_Management!$B$20=3,2,IF((S115*R115/T115)&lt;((T115*(1-(T115/R115)))/(2*Lm*Fsw)),1,2))</f>
        <v>2</v>
      </c>
      <c r="W115" s="71">
        <f t="shared" si="81"/>
        <v>0.79439252336448596</v>
      </c>
      <c r="X115" s="74">
        <f t="shared" si="82"/>
        <v>0.20560747663551404</v>
      </c>
      <c r="Y115" s="73">
        <f t="shared" si="83"/>
        <v>5.8255451713395638</v>
      </c>
      <c r="Z115" s="71">
        <f t="shared" si="77"/>
        <v>23.923681676578873</v>
      </c>
      <c r="AA115" s="71">
        <f t="shared" si="78"/>
        <v>21.078101959262273</v>
      </c>
      <c r="AB115" s="71">
        <v>0</v>
      </c>
      <c r="AC115" s="71">
        <f t="shared" si="84"/>
        <v>1.0218586790716291</v>
      </c>
      <c r="AD115" s="74">
        <f t="shared" si="67"/>
        <v>1.0218586790716291</v>
      </c>
      <c r="AE115" s="73">
        <f t="shared" si="76"/>
        <v>16.690909090909091</v>
      </c>
      <c r="AF115" s="71">
        <f t="shared" si="68"/>
        <v>18.786638343683336</v>
      </c>
      <c r="AG115" s="71">
        <f t="shared" si="85"/>
        <v>1.4117511210254117</v>
      </c>
      <c r="AH115" s="71">
        <f t="shared" si="86"/>
        <v>3.7391901263632481</v>
      </c>
      <c r="AI115" s="74">
        <f t="shared" si="69"/>
        <v>5.1509412473886602</v>
      </c>
      <c r="AJ115" s="73">
        <f t="shared" si="70"/>
        <v>4.32</v>
      </c>
      <c r="AK115" s="71">
        <f t="shared" si="87"/>
        <v>9.557646255679435</v>
      </c>
      <c r="AL115" s="71">
        <f t="shared" si="88"/>
        <v>0.36539440779481247</v>
      </c>
      <c r="AM115" s="71">
        <f t="shared" si="95"/>
        <v>2.3804000000000003</v>
      </c>
      <c r="AN115" s="188">
        <f t="shared" si="89"/>
        <v>0.28708418011894649</v>
      </c>
      <c r="AO115" s="74">
        <f t="shared" si="72"/>
        <v>3.0328785879137592</v>
      </c>
      <c r="AP115" s="73">
        <f t="shared" si="90"/>
        <v>0.66642957330758412</v>
      </c>
      <c r="AQ115" s="206">
        <f t="shared" si="91"/>
        <v>1.0218586790716291</v>
      </c>
      <c r="AR115" s="206">
        <f t="shared" si="92"/>
        <v>3.0218089420955812</v>
      </c>
      <c r="AS115" s="71">
        <f t="shared" si="93"/>
        <v>0.16</v>
      </c>
      <c r="AT115" s="74">
        <f t="shared" si="94"/>
        <v>3.6299999999999995E-5</v>
      </c>
      <c r="AU115" s="73">
        <f t="shared" si="73"/>
        <v>14.075812008848843</v>
      </c>
      <c r="AV115" s="71">
        <f t="shared" si="74"/>
        <v>231.12</v>
      </c>
      <c r="AW115" s="74">
        <f t="shared" si="75"/>
        <v>94.259358716803504</v>
      </c>
    </row>
    <row r="116" spans="17:49" x14ac:dyDescent="0.25">
      <c r="Q116">
        <v>109</v>
      </c>
      <c r="R116" s="73">
        <f t="shared" si="49"/>
        <v>53.5</v>
      </c>
      <c r="S116" s="71">
        <f t="shared" si="79"/>
        <v>4.3600000000000003</v>
      </c>
      <c r="T116" s="71">
        <f t="shared" si="51"/>
        <v>11</v>
      </c>
      <c r="U116" s="74">
        <f t="shared" si="80"/>
        <v>21.205454545454547</v>
      </c>
      <c r="V116" s="73">
        <f>IF(Variable_Management!$B$20=3,2,IF((S116*R116/T116)&lt;((T116*(1-(T116/R116)))/(2*Lm*Fsw)),1,2))</f>
        <v>2</v>
      </c>
      <c r="W116" s="71">
        <f t="shared" si="81"/>
        <v>0.79439252336448596</v>
      </c>
      <c r="X116" s="74">
        <f t="shared" si="82"/>
        <v>0.20560747663551404</v>
      </c>
      <c r="Y116" s="73">
        <f t="shared" si="83"/>
        <v>5.8255451713395638</v>
      </c>
      <c r="Z116" s="71">
        <f t="shared" si="77"/>
        <v>24.118227131124328</v>
      </c>
      <c r="AA116" s="71">
        <f t="shared" si="78"/>
        <v>21.272032903743561</v>
      </c>
      <c r="AB116" s="71">
        <v>0</v>
      </c>
      <c r="AC116" s="71">
        <f t="shared" si="84"/>
        <v>1.0407485828732821</v>
      </c>
      <c r="AD116" s="74">
        <f t="shared" si="67"/>
        <v>1.0407485828732821</v>
      </c>
      <c r="AE116" s="73">
        <f t="shared" si="76"/>
        <v>16.845454545454547</v>
      </c>
      <c r="AF116" s="71">
        <f t="shared" si="68"/>
        <v>18.959486474158286</v>
      </c>
      <c r="AG116" s="71">
        <f t="shared" si="85"/>
        <v>1.4378485094551641</v>
      </c>
      <c r="AH116" s="71">
        <f t="shared" si="86"/>
        <v>3.7738122571629078</v>
      </c>
      <c r="AI116" s="74">
        <f t="shared" si="69"/>
        <v>5.2116607666180723</v>
      </c>
      <c r="AJ116" s="73">
        <f t="shared" si="70"/>
        <v>4.3600000000000012</v>
      </c>
      <c r="AK116" s="71">
        <f t="shared" si="87"/>
        <v>9.6455822268102445</v>
      </c>
      <c r="AL116" s="71">
        <f t="shared" si="88"/>
        <v>0.37214902597663069</v>
      </c>
      <c r="AM116" s="71">
        <f t="shared" si="95"/>
        <v>2.3804000000000003</v>
      </c>
      <c r="AN116" s="188">
        <f t="shared" si="89"/>
        <v>0.28941872557349196</v>
      </c>
      <c r="AO116" s="74">
        <f t="shared" si="72"/>
        <v>3.0419677515501227</v>
      </c>
      <c r="AP116" s="73">
        <f t="shared" si="90"/>
        <v>0.67874907578692312</v>
      </c>
      <c r="AQ116" s="206">
        <f t="shared" si="91"/>
        <v>1.0407485828732821</v>
      </c>
      <c r="AR116" s="206">
        <f t="shared" si="92"/>
        <v>3.0218089420955812</v>
      </c>
      <c r="AS116" s="71">
        <f t="shared" si="93"/>
        <v>0.16</v>
      </c>
      <c r="AT116" s="74">
        <f t="shared" si="94"/>
        <v>3.6299999999999995E-5</v>
      </c>
      <c r="AU116" s="73">
        <f t="shared" si="73"/>
        <v>14.195720001797266</v>
      </c>
      <c r="AV116" s="71">
        <f t="shared" si="74"/>
        <v>233.26000000000002</v>
      </c>
      <c r="AW116" s="74">
        <f t="shared" si="75"/>
        <v>94.263329212315568</v>
      </c>
    </row>
    <row r="117" spans="17:49" x14ac:dyDescent="0.25">
      <c r="Q117">
        <v>110</v>
      </c>
      <c r="R117" s="73">
        <f t="shared" si="49"/>
        <v>53.5</v>
      </c>
      <c r="S117" s="71">
        <f t="shared" si="79"/>
        <v>4.4000000000000004</v>
      </c>
      <c r="T117" s="71">
        <f t="shared" si="51"/>
        <v>11</v>
      </c>
      <c r="U117" s="74">
        <f t="shared" si="80"/>
        <v>21.400000000000002</v>
      </c>
      <c r="V117" s="73">
        <f>IF(Variable_Management!$B$20=3,2,IF((S117*R117/T117)&lt;((T117*(1-(T117/R117)))/(2*Lm*Fsw)),1,2))</f>
        <v>2</v>
      </c>
      <c r="W117" s="71">
        <f t="shared" si="81"/>
        <v>0.79439252336448596</v>
      </c>
      <c r="X117" s="74">
        <f t="shared" si="82"/>
        <v>0.20560747663551404</v>
      </c>
      <c r="Y117" s="73">
        <f t="shared" si="83"/>
        <v>5.8255451713395638</v>
      </c>
      <c r="Z117" s="71">
        <f t="shared" si="77"/>
        <v>24.312772585669784</v>
      </c>
      <c r="AA117" s="71">
        <f t="shared" si="78"/>
        <v>21.46597496920673</v>
      </c>
      <c r="AB117" s="71">
        <v>0</v>
      </c>
      <c r="AC117" s="71">
        <f t="shared" si="84"/>
        <v>1.0598125871708026</v>
      </c>
      <c r="AD117" s="74">
        <f t="shared" si="67"/>
        <v>1.0598125871708026</v>
      </c>
      <c r="AE117" s="73">
        <f t="shared" si="76"/>
        <v>17</v>
      </c>
      <c r="AF117" s="71">
        <f t="shared" si="68"/>
        <v>19.13234451661986</v>
      </c>
      <c r="AG117" s="71">
        <f t="shared" si="85"/>
        <v>1.464186426810536</v>
      </c>
      <c r="AH117" s="71">
        <f t="shared" si="86"/>
        <v>3.8084343879625671</v>
      </c>
      <c r="AI117" s="74">
        <f t="shared" si="69"/>
        <v>5.2726208147731031</v>
      </c>
      <c r="AJ117" s="73">
        <f t="shared" si="70"/>
        <v>4.4000000000000012</v>
      </c>
      <c r="AK117" s="71">
        <f t="shared" si="87"/>
        <v>9.7335232406347014</v>
      </c>
      <c r="AL117" s="71">
        <f t="shared" si="88"/>
        <v>0.37896589870390346</v>
      </c>
      <c r="AM117" s="71">
        <f t="shared" si="95"/>
        <v>2.3804000000000003</v>
      </c>
      <c r="AN117" s="188">
        <f t="shared" si="89"/>
        <v>0.29175327102803739</v>
      </c>
      <c r="AO117" s="74">
        <f t="shared" si="72"/>
        <v>3.0511191697319409</v>
      </c>
      <c r="AP117" s="73">
        <f t="shared" si="90"/>
        <v>0.69118212206791485</v>
      </c>
      <c r="AQ117" s="206">
        <f t="shared" si="91"/>
        <v>1.0598125871708026</v>
      </c>
      <c r="AR117" s="206">
        <f t="shared" si="92"/>
        <v>3.0218089420955812</v>
      </c>
      <c r="AS117" s="71">
        <f t="shared" si="93"/>
        <v>0.16</v>
      </c>
      <c r="AT117" s="74">
        <f t="shared" si="94"/>
        <v>3.6299999999999995E-5</v>
      </c>
      <c r="AU117" s="73">
        <f t="shared" si="73"/>
        <v>14.316392523010144</v>
      </c>
      <c r="AV117" s="71">
        <f t="shared" si="74"/>
        <v>235.4</v>
      </c>
      <c r="AW117" s="74">
        <f t="shared" si="75"/>
        <v>94.266939235200212</v>
      </c>
    </row>
    <row r="118" spans="17:49" x14ac:dyDescent="0.25">
      <c r="Q118">
        <v>111</v>
      </c>
      <c r="R118" s="73">
        <f t="shared" si="49"/>
        <v>53.5</v>
      </c>
      <c r="S118" s="71">
        <f t="shared" si="79"/>
        <v>4.4400000000000004</v>
      </c>
      <c r="T118" s="71">
        <f t="shared" si="51"/>
        <v>11</v>
      </c>
      <c r="U118" s="74">
        <f t="shared" si="80"/>
        <v>21.594545454545457</v>
      </c>
      <c r="V118" s="73">
        <f>IF(Variable_Management!$B$20=3,2,IF((S118*R118/T118)&lt;((T118*(1-(T118/R118)))/(2*Lm*Fsw)),1,2))</f>
        <v>2</v>
      </c>
      <c r="W118" s="71">
        <f t="shared" si="81"/>
        <v>0.79439252336448596</v>
      </c>
      <c r="X118" s="74">
        <f t="shared" si="82"/>
        <v>0.20560747663551404</v>
      </c>
      <c r="Y118" s="73">
        <f t="shared" si="83"/>
        <v>5.8255451713395638</v>
      </c>
      <c r="Z118" s="71">
        <f t="shared" si="77"/>
        <v>24.507318040215239</v>
      </c>
      <c r="AA118" s="71">
        <f t="shared" si="78"/>
        <v>21.659927856921399</v>
      </c>
      <c r="AB118" s="71">
        <v>0</v>
      </c>
      <c r="AC118" s="71">
        <f t="shared" si="84"/>
        <v>1.0790506919641911</v>
      </c>
      <c r="AD118" s="74">
        <f t="shared" si="67"/>
        <v>1.0790506919641911</v>
      </c>
      <c r="AE118" s="73">
        <f t="shared" si="76"/>
        <v>17.154545454545456</v>
      </c>
      <c r="AF118" s="71">
        <f t="shared" si="68"/>
        <v>19.305212204813547</v>
      </c>
      <c r="AG118" s="71">
        <f t="shared" si="85"/>
        <v>1.4907648730915277</v>
      </c>
      <c r="AH118" s="71">
        <f t="shared" si="86"/>
        <v>3.8430565187622276</v>
      </c>
      <c r="AI118" s="74">
        <f t="shared" si="69"/>
        <v>5.3338213918537551</v>
      </c>
      <c r="AJ118" s="73">
        <f t="shared" si="70"/>
        <v>4.4400000000000013</v>
      </c>
      <c r="AK118" s="71">
        <f t="shared" si="87"/>
        <v>9.8214691616966192</v>
      </c>
      <c r="AL118" s="71">
        <f t="shared" si="88"/>
        <v>0.38584502597663078</v>
      </c>
      <c r="AM118" s="71">
        <f t="shared" si="95"/>
        <v>2.3804000000000003</v>
      </c>
      <c r="AN118" s="188">
        <f t="shared" si="89"/>
        <v>0.29408781648258286</v>
      </c>
      <c r="AO118" s="74">
        <f t="shared" si="72"/>
        <v>3.0603328424592142</v>
      </c>
      <c r="AP118" s="73">
        <f t="shared" si="90"/>
        <v>0.70372871215055943</v>
      </c>
      <c r="AQ118" s="206">
        <f t="shared" si="91"/>
        <v>1.0790506919641911</v>
      </c>
      <c r="AR118" s="206">
        <f t="shared" si="92"/>
        <v>3.0218089420955812</v>
      </c>
      <c r="AS118" s="71">
        <f t="shared" si="93"/>
        <v>0.16</v>
      </c>
      <c r="AT118" s="74">
        <f t="shared" si="94"/>
        <v>3.6299999999999995E-5</v>
      </c>
      <c r="AU118" s="73">
        <f t="shared" si="73"/>
        <v>14.437829572487491</v>
      </c>
      <c r="AV118" s="71">
        <f t="shared" si="74"/>
        <v>237.54000000000002</v>
      </c>
      <c r="AW118" s="74">
        <f t="shared" si="75"/>
        <v>94.270198454767581</v>
      </c>
    </row>
    <row r="119" spans="17:49" x14ac:dyDescent="0.25">
      <c r="Q119">
        <v>112</v>
      </c>
      <c r="R119" s="73">
        <f t="shared" si="49"/>
        <v>53.5</v>
      </c>
      <c r="S119" s="71">
        <f t="shared" si="79"/>
        <v>4.4800000000000004</v>
      </c>
      <c r="T119" s="71">
        <f t="shared" si="51"/>
        <v>11</v>
      </c>
      <c r="U119" s="74">
        <f t="shared" si="80"/>
        <v>21.789090909090913</v>
      </c>
      <c r="V119" s="73">
        <f>IF(Variable_Management!$B$20=3,2,IF((S119*R119/T119)&lt;((T119*(1-(T119/R119)))/(2*Lm*Fsw)),1,2))</f>
        <v>2</v>
      </c>
      <c r="W119" s="71">
        <f t="shared" si="81"/>
        <v>0.79439252336448596</v>
      </c>
      <c r="X119" s="74">
        <f t="shared" si="82"/>
        <v>0.20560747663551404</v>
      </c>
      <c r="Y119" s="73">
        <f t="shared" si="83"/>
        <v>5.8255451713395638</v>
      </c>
      <c r="Z119" s="71">
        <f t="shared" si="77"/>
        <v>24.701863494760694</v>
      </c>
      <c r="AA119" s="71">
        <f t="shared" si="78"/>
        <v>21.853891278745714</v>
      </c>
      <c r="AB119" s="71">
        <v>0</v>
      </c>
      <c r="AC119" s="71">
        <f t="shared" si="84"/>
        <v>1.0984628972534474</v>
      </c>
      <c r="AD119" s="74">
        <f t="shared" si="67"/>
        <v>1.0984628972534474</v>
      </c>
      <c r="AE119" s="73">
        <f t="shared" si="76"/>
        <v>17.309090909090912</v>
      </c>
      <c r="AF119" s="71">
        <f t="shared" si="68"/>
        <v>19.478089281922262</v>
      </c>
      <c r="AG119" s="71">
        <f t="shared" si="85"/>
        <v>1.5175838482981396</v>
      </c>
      <c r="AH119" s="71">
        <f t="shared" si="86"/>
        <v>3.8776786495618878</v>
      </c>
      <c r="AI119" s="74">
        <f t="shared" si="69"/>
        <v>5.3952624978600277</v>
      </c>
      <c r="AJ119" s="73">
        <f t="shared" si="70"/>
        <v>4.4800000000000013</v>
      </c>
      <c r="AK119" s="71">
        <f t="shared" si="87"/>
        <v>9.9094198593410692</v>
      </c>
      <c r="AL119" s="71">
        <f t="shared" si="88"/>
        <v>0.39278640779481272</v>
      </c>
      <c r="AM119" s="71">
        <f t="shared" si="95"/>
        <v>2.3804000000000003</v>
      </c>
      <c r="AN119" s="188">
        <f t="shared" si="89"/>
        <v>0.29642236193712834</v>
      </c>
      <c r="AO119" s="74">
        <f t="shared" si="72"/>
        <v>3.0696087697319414</v>
      </c>
      <c r="AP119" s="73">
        <f t="shared" si="90"/>
        <v>0.71638884603485697</v>
      </c>
      <c r="AQ119" s="206">
        <f t="shared" si="91"/>
        <v>1.0984628972534474</v>
      </c>
      <c r="AR119" s="206">
        <f t="shared" si="92"/>
        <v>3.0218089420955812</v>
      </c>
      <c r="AS119" s="71">
        <f t="shared" si="93"/>
        <v>0.16</v>
      </c>
      <c r="AT119" s="74">
        <f t="shared" si="94"/>
        <v>3.6299999999999995E-5</v>
      </c>
      <c r="AU119" s="73">
        <f t="shared" si="73"/>
        <v>14.560031150229303</v>
      </c>
      <c r="AV119" s="71">
        <f t="shared" si="74"/>
        <v>239.68000000000004</v>
      </c>
      <c r="AW119" s="74">
        <f t="shared" si="75"/>
        <v>94.273116202685699</v>
      </c>
    </row>
    <row r="120" spans="17:49" x14ac:dyDescent="0.25">
      <c r="Q120">
        <v>113</v>
      </c>
      <c r="R120" s="73">
        <f t="shared" si="49"/>
        <v>53.5</v>
      </c>
      <c r="S120" s="71">
        <f t="shared" si="79"/>
        <v>4.5200000000000005</v>
      </c>
      <c r="T120" s="71">
        <f t="shared" si="51"/>
        <v>11</v>
      </c>
      <c r="U120" s="74">
        <f t="shared" si="80"/>
        <v>21.983636363636364</v>
      </c>
      <c r="V120" s="73">
        <f>IF(Variable_Management!$B$20=3,2,IF((S120*R120/T120)&lt;((T120*(1-(T120/R120)))/(2*Lm*Fsw)),1,2))</f>
        <v>2</v>
      </c>
      <c r="W120" s="71">
        <f t="shared" si="81"/>
        <v>0.79439252336448596</v>
      </c>
      <c r="X120" s="74">
        <f t="shared" si="82"/>
        <v>0.20560747663551404</v>
      </c>
      <c r="Y120" s="73">
        <f t="shared" si="83"/>
        <v>5.8255451713395638</v>
      </c>
      <c r="Z120" s="71">
        <f t="shared" si="77"/>
        <v>24.896408949306146</v>
      </c>
      <c r="AA120" s="71">
        <f t="shared" si="78"/>
        <v>22.047864956662014</v>
      </c>
      <c r="AB120" s="71">
        <v>0</v>
      </c>
      <c r="AC120" s="71">
        <f t="shared" si="84"/>
        <v>1.1180492030385711</v>
      </c>
      <c r="AD120" s="74">
        <f t="shared" si="67"/>
        <v>1.1180492030385711</v>
      </c>
      <c r="AE120" s="73">
        <f t="shared" si="76"/>
        <v>17.463636363636365</v>
      </c>
      <c r="AF120" s="71">
        <f t="shared" si="68"/>
        <v>19.65097550015247</v>
      </c>
      <c r="AG120" s="71">
        <f t="shared" si="85"/>
        <v>1.5446433524303704</v>
      </c>
      <c r="AH120" s="71">
        <f t="shared" si="86"/>
        <v>3.9123007803615466</v>
      </c>
      <c r="AI120" s="74">
        <f t="shared" si="69"/>
        <v>5.456944132791917</v>
      </c>
      <c r="AJ120" s="73">
        <f t="shared" si="70"/>
        <v>4.5200000000000005</v>
      </c>
      <c r="AK120" s="71">
        <f t="shared" si="87"/>
        <v>9.9973752075038291</v>
      </c>
      <c r="AL120" s="71">
        <f t="shared" si="88"/>
        <v>0.39979004415844893</v>
      </c>
      <c r="AM120" s="71">
        <f t="shared" si="95"/>
        <v>2.3804000000000003</v>
      </c>
      <c r="AN120" s="188">
        <f t="shared" si="89"/>
        <v>0.29875690739167376</v>
      </c>
      <c r="AO120" s="74">
        <f t="shared" si="72"/>
        <v>3.0789469515501229</v>
      </c>
      <c r="AP120" s="73">
        <f t="shared" si="90"/>
        <v>0.72916252372080737</v>
      </c>
      <c r="AQ120" s="206">
        <f t="shared" si="91"/>
        <v>1.1180492030385711</v>
      </c>
      <c r="AR120" s="206">
        <f t="shared" si="92"/>
        <v>3.0218089420955812</v>
      </c>
      <c r="AS120" s="71">
        <f t="shared" si="93"/>
        <v>0.16</v>
      </c>
      <c r="AT120" s="74">
        <f t="shared" si="94"/>
        <v>3.6299999999999995E-5</v>
      </c>
      <c r="AU120" s="73">
        <f t="shared" si="73"/>
        <v>14.68299725623557</v>
      </c>
      <c r="AV120" s="71">
        <f t="shared" si="74"/>
        <v>241.82000000000002</v>
      </c>
      <c r="AW120" s="74">
        <f t="shared" si="75"/>
        <v>94.27570148758619</v>
      </c>
    </row>
    <row r="121" spans="17:49" x14ac:dyDescent="0.25">
      <c r="Q121">
        <v>114</v>
      </c>
      <c r="R121" s="73">
        <f t="shared" si="49"/>
        <v>53.5</v>
      </c>
      <c r="S121" s="71">
        <f t="shared" si="79"/>
        <v>4.5600000000000005</v>
      </c>
      <c r="T121" s="71">
        <f t="shared" si="51"/>
        <v>11</v>
      </c>
      <c r="U121" s="74">
        <f t="shared" si="80"/>
        <v>22.178181818181823</v>
      </c>
      <c r="V121" s="73">
        <f>IF(Variable_Management!$B$20=3,2,IF((S121*R121/T121)&lt;((T121*(1-(T121/R121)))/(2*Lm*Fsw)),1,2))</f>
        <v>2</v>
      </c>
      <c r="W121" s="71">
        <f t="shared" si="81"/>
        <v>0.79439252336448596</v>
      </c>
      <c r="X121" s="74">
        <f t="shared" si="82"/>
        <v>0.20560747663551404</v>
      </c>
      <c r="Y121" s="73">
        <f t="shared" si="83"/>
        <v>5.8255451713395638</v>
      </c>
      <c r="Z121" s="71">
        <f t="shared" si="77"/>
        <v>25.090954403851605</v>
      </c>
      <c r="AA121" s="71">
        <f t="shared" si="78"/>
        <v>22.24184862233669</v>
      </c>
      <c r="AB121" s="71">
        <v>0</v>
      </c>
      <c r="AC121" s="71">
        <f t="shared" si="84"/>
        <v>1.1378096093195631</v>
      </c>
      <c r="AD121" s="74">
        <f t="shared" si="67"/>
        <v>1.1378096093195631</v>
      </c>
      <c r="AE121" s="73">
        <f t="shared" si="76"/>
        <v>17.618181818181821</v>
      </c>
      <c r="AF121" s="71">
        <f t="shared" si="68"/>
        <v>19.823870620341921</v>
      </c>
      <c r="AG121" s="71">
        <f t="shared" si="85"/>
        <v>1.5719433854882223</v>
      </c>
      <c r="AH121" s="71">
        <f t="shared" si="86"/>
        <v>3.9469229111612067</v>
      </c>
      <c r="AI121" s="74">
        <f t="shared" si="69"/>
        <v>5.5188662966494295</v>
      </c>
      <c r="AJ121" s="73">
        <f t="shared" si="70"/>
        <v>4.5600000000000014</v>
      </c>
      <c r="AK121" s="71">
        <f t="shared" si="87"/>
        <v>10.085335084511817</v>
      </c>
      <c r="AL121" s="71">
        <f t="shared" si="88"/>
        <v>0.40685593506753992</v>
      </c>
      <c r="AM121" s="71">
        <f t="shared" si="95"/>
        <v>2.3804000000000003</v>
      </c>
      <c r="AN121" s="188">
        <f t="shared" si="89"/>
        <v>0.30109145284621924</v>
      </c>
      <c r="AO121" s="74">
        <f t="shared" si="72"/>
        <v>3.0883473879137595</v>
      </c>
      <c r="AP121" s="73">
        <f t="shared" si="90"/>
        <v>0.74204974520841083</v>
      </c>
      <c r="AQ121" s="206">
        <f t="shared" si="91"/>
        <v>1.1378096093195631</v>
      </c>
      <c r="AR121" s="206">
        <f t="shared" si="92"/>
        <v>3.0218089420955812</v>
      </c>
      <c r="AS121" s="71">
        <f t="shared" si="93"/>
        <v>0.16</v>
      </c>
      <c r="AT121" s="74">
        <f t="shared" si="94"/>
        <v>3.6299999999999995E-5</v>
      </c>
      <c r="AU121" s="73">
        <f t="shared" si="73"/>
        <v>14.806727890506306</v>
      </c>
      <c r="AV121" s="71">
        <f t="shared" si="74"/>
        <v>243.96000000000004</v>
      </c>
      <c r="AW121" s="74">
        <f t="shared" si="75"/>
        <v>94.277963008918377</v>
      </c>
    </row>
    <row r="122" spans="17:49" x14ac:dyDescent="0.25">
      <c r="Q122">
        <v>115</v>
      </c>
      <c r="R122" s="73">
        <f t="shared" si="49"/>
        <v>53.5</v>
      </c>
      <c r="S122" s="71">
        <f t="shared" si="79"/>
        <v>4.6000000000000005</v>
      </c>
      <c r="T122" s="71">
        <f t="shared" si="51"/>
        <v>11</v>
      </c>
      <c r="U122" s="74">
        <f t="shared" si="80"/>
        <v>22.372727272727275</v>
      </c>
      <c r="V122" s="73">
        <f>IF(Variable_Management!$B$20=3,2,IF((S122*R122/T122)&lt;((T122*(1-(T122/R122)))/(2*Lm*Fsw)),1,2))</f>
        <v>2</v>
      </c>
      <c r="W122" s="71">
        <f t="shared" si="81"/>
        <v>0.79439252336448596</v>
      </c>
      <c r="X122" s="74">
        <f t="shared" si="82"/>
        <v>0.20560747663551404</v>
      </c>
      <c r="Y122" s="73">
        <f t="shared" si="83"/>
        <v>5.8255451713395638</v>
      </c>
      <c r="Z122" s="71">
        <f t="shared" si="77"/>
        <v>25.285499858397056</v>
      </c>
      <c r="AA122" s="71">
        <f t="shared" si="78"/>
        <v>22.43584201670275</v>
      </c>
      <c r="AB122" s="71">
        <v>0</v>
      </c>
      <c r="AC122" s="71">
        <f t="shared" si="84"/>
        <v>1.1577441160964224</v>
      </c>
      <c r="AD122" s="74">
        <f t="shared" si="67"/>
        <v>1.1577441160964224</v>
      </c>
      <c r="AE122" s="73">
        <f t="shared" si="76"/>
        <v>17.772727272727273</v>
      </c>
      <c r="AF122" s="71">
        <f t="shared" si="68"/>
        <v>19.996774411587566</v>
      </c>
      <c r="AG122" s="71">
        <f t="shared" si="85"/>
        <v>1.5994839474716931</v>
      </c>
      <c r="AH122" s="71">
        <f t="shared" si="86"/>
        <v>3.9815450419608664</v>
      </c>
      <c r="AI122" s="74">
        <f t="shared" si="69"/>
        <v>5.5810289894325598</v>
      </c>
      <c r="AJ122" s="73">
        <f t="shared" si="70"/>
        <v>4.6000000000000005</v>
      </c>
      <c r="AK122" s="71">
        <f t="shared" si="87"/>
        <v>10.173299372893796</v>
      </c>
      <c r="AL122" s="71">
        <f t="shared" si="88"/>
        <v>0.41398408052208524</v>
      </c>
      <c r="AM122" s="71">
        <f t="shared" si="95"/>
        <v>2.3804000000000003</v>
      </c>
      <c r="AN122" s="188">
        <f t="shared" si="89"/>
        <v>0.30342599830076467</v>
      </c>
      <c r="AO122" s="74">
        <f t="shared" si="72"/>
        <v>3.09781007882285</v>
      </c>
      <c r="AP122" s="73">
        <f t="shared" si="90"/>
        <v>0.7550505104976668</v>
      </c>
      <c r="AQ122" s="206">
        <f t="shared" si="91"/>
        <v>1.1577441160964224</v>
      </c>
      <c r="AR122" s="206">
        <f t="shared" si="92"/>
        <v>3.0218089420955812</v>
      </c>
      <c r="AS122" s="71">
        <f t="shared" si="93"/>
        <v>0.16</v>
      </c>
      <c r="AT122" s="74">
        <f t="shared" si="94"/>
        <v>3.6299999999999995E-5</v>
      </c>
      <c r="AU122" s="73">
        <f t="shared" si="73"/>
        <v>14.931223053041503</v>
      </c>
      <c r="AV122" s="71">
        <f t="shared" si="74"/>
        <v>246.10000000000002</v>
      </c>
      <c r="AW122" s="74">
        <f t="shared" si="75"/>
        <v>94.279909170096687</v>
      </c>
    </row>
    <row r="123" spans="17:49" x14ac:dyDescent="0.25">
      <c r="Q123">
        <v>116</v>
      </c>
      <c r="R123" s="73">
        <f t="shared" si="49"/>
        <v>53.5</v>
      </c>
      <c r="S123" s="71">
        <f t="shared" si="79"/>
        <v>4.6399999999999997</v>
      </c>
      <c r="T123" s="71">
        <f t="shared" si="51"/>
        <v>11</v>
      </c>
      <c r="U123" s="74">
        <f t="shared" si="80"/>
        <v>22.567272727272726</v>
      </c>
      <c r="V123" s="73">
        <f>IF(Variable_Management!$B$20=3,2,IF((S123*R123/T123)&lt;((T123*(1-(T123/R123)))/(2*Lm*Fsw)),1,2))</f>
        <v>2</v>
      </c>
      <c r="W123" s="71">
        <f t="shared" si="81"/>
        <v>0.79439252336448596</v>
      </c>
      <c r="X123" s="74">
        <f t="shared" si="82"/>
        <v>0.20560747663551404</v>
      </c>
      <c r="Y123" s="73">
        <f t="shared" si="83"/>
        <v>5.8255451713395638</v>
      </c>
      <c r="Z123" s="71">
        <f t="shared" si="77"/>
        <v>25.480045312942508</v>
      </c>
      <c r="AA123" s="71">
        <f t="shared" si="78"/>
        <v>22.629844889563806</v>
      </c>
      <c r="AB123" s="71">
        <v>0</v>
      </c>
      <c r="AC123" s="71">
        <f t="shared" si="84"/>
        <v>1.1778527233691491</v>
      </c>
      <c r="AD123" s="74">
        <f t="shared" si="67"/>
        <v>1.1778527233691491</v>
      </c>
      <c r="AE123" s="73">
        <f t="shared" si="76"/>
        <v>17.927272727272726</v>
      </c>
      <c r="AF123" s="71">
        <f t="shared" si="68"/>
        <v>20.169686650892615</v>
      </c>
      <c r="AG123" s="71">
        <f t="shared" si="85"/>
        <v>1.627265038380783</v>
      </c>
      <c r="AH123" s="71">
        <f t="shared" si="86"/>
        <v>4.0161671727605253</v>
      </c>
      <c r="AI123" s="74">
        <f t="shared" si="69"/>
        <v>5.6434322111413078</v>
      </c>
      <c r="AJ123" s="73">
        <f t="shared" si="70"/>
        <v>4.6400000000000006</v>
      </c>
      <c r="AK123" s="71">
        <f t="shared" si="87"/>
        <v>10.261267959200817</v>
      </c>
      <c r="AL123" s="71">
        <f t="shared" si="88"/>
        <v>0.42117448052208517</v>
      </c>
      <c r="AM123" s="71">
        <f t="shared" si="95"/>
        <v>2.3804000000000003</v>
      </c>
      <c r="AN123" s="188">
        <f t="shared" si="89"/>
        <v>0.30576054375531009</v>
      </c>
      <c r="AO123" s="74">
        <f t="shared" si="72"/>
        <v>3.1073350242773956</v>
      </c>
      <c r="AP123" s="73">
        <f t="shared" si="90"/>
        <v>0.76816481958857563</v>
      </c>
      <c r="AQ123" s="206">
        <f t="shared" si="91"/>
        <v>1.1778527233691491</v>
      </c>
      <c r="AR123" s="206">
        <f t="shared" si="92"/>
        <v>3.0218089420955812</v>
      </c>
      <c r="AS123" s="71">
        <f t="shared" si="93"/>
        <v>0.16</v>
      </c>
      <c r="AT123" s="74">
        <f t="shared" si="94"/>
        <v>3.6299999999999995E-5</v>
      </c>
      <c r="AU123" s="73">
        <f t="shared" si="73"/>
        <v>15.056482743841158</v>
      </c>
      <c r="AV123" s="71">
        <f t="shared" si="74"/>
        <v>248.23999999999998</v>
      </c>
      <c r="AW123" s="74">
        <f t="shared" si="75"/>
        <v>94.281548090982497</v>
      </c>
    </row>
    <row r="124" spans="17:49" x14ac:dyDescent="0.25">
      <c r="Q124">
        <v>117</v>
      </c>
      <c r="R124" s="73">
        <f t="shared" si="49"/>
        <v>53.5</v>
      </c>
      <c r="S124" s="71">
        <f t="shared" si="79"/>
        <v>4.68</v>
      </c>
      <c r="T124" s="71">
        <f t="shared" si="51"/>
        <v>11</v>
      </c>
      <c r="U124" s="74">
        <f t="shared" si="80"/>
        <v>22.761818181818182</v>
      </c>
      <c r="V124" s="73">
        <f>IF(Variable_Management!$B$20=3,2,IF((S124*R124/T124)&lt;((T124*(1-(T124/R124)))/(2*Lm*Fsw)),1,2))</f>
        <v>2</v>
      </c>
      <c r="W124" s="71">
        <f t="shared" si="81"/>
        <v>0.79439252336448596</v>
      </c>
      <c r="X124" s="74">
        <f t="shared" si="82"/>
        <v>0.20560747663551404</v>
      </c>
      <c r="Y124" s="73">
        <f t="shared" si="83"/>
        <v>5.8255451713395638</v>
      </c>
      <c r="Z124" s="71">
        <f t="shared" si="77"/>
        <v>25.674590767487963</v>
      </c>
      <c r="AA124" s="71">
        <f t="shared" si="78"/>
        <v>22.823856999218133</v>
      </c>
      <c r="AB124" s="71">
        <v>0</v>
      </c>
      <c r="AC124" s="71">
        <f t="shared" si="84"/>
        <v>1.1981354311377446</v>
      </c>
      <c r="AD124" s="74">
        <f t="shared" si="67"/>
        <v>1.1981354311377446</v>
      </c>
      <c r="AE124" s="73">
        <f t="shared" si="76"/>
        <v>18.081818181818182</v>
      </c>
      <c r="AF124" s="71">
        <f t="shared" si="68"/>
        <v>20.342607122831467</v>
      </c>
      <c r="AG124" s="71">
        <f t="shared" si="85"/>
        <v>1.6552866582154941</v>
      </c>
      <c r="AH124" s="71">
        <f t="shared" si="86"/>
        <v>4.050789303560185</v>
      </c>
      <c r="AI124" s="74">
        <f t="shared" si="69"/>
        <v>5.7060759617756789</v>
      </c>
      <c r="AJ124" s="73">
        <f t="shared" si="70"/>
        <v>4.6800000000000006</v>
      </c>
      <c r="AK124" s="71">
        <f t="shared" si="87"/>
        <v>10.349240733835741</v>
      </c>
      <c r="AL124" s="71">
        <f t="shared" si="88"/>
        <v>0.42842713506753977</v>
      </c>
      <c r="AM124" s="71">
        <f t="shared" si="95"/>
        <v>2.3804000000000003</v>
      </c>
      <c r="AN124" s="188">
        <f t="shared" si="89"/>
        <v>0.30809508920985557</v>
      </c>
      <c r="AO124" s="74">
        <f t="shared" si="72"/>
        <v>3.116922224277396</v>
      </c>
      <c r="AP124" s="73">
        <f t="shared" si="90"/>
        <v>0.78139267248113786</v>
      </c>
      <c r="AQ124" s="206">
        <f t="shared" si="91"/>
        <v>1.1981354311377446</v>
      </c>
      <c r="AR124" s="206">
        <f t="shared" si="92"/>
        <v>3.0218089420955812</v>
      </c>
      <c r="AS124" s="71">
        <f t="shared" si="93"/>
        <v>0.16</v>
      </c>
      <c r="AT124" s="74">
        <f t="shared" si="94"/>
        <v>3.6299999999999995E-5</v>
      </c>
      <c r="AU124" s="73">
        <f t="shared" si="73"/>
        <v>15.182506962905283</v>
      </c>
      <c r="AV124" s="71">
        <f t="shared" si="74"/>
        <v>250.38</v>
      </c>
      <c r="AW124" s="74">
        <f t="shared" si="75"/>
        <v>94.282887619739924</v>
      </c>
    </row>
    <row r="125" spans="17:49" x14ac:dyDescent="0.25">
      <c r="Q125">
        <v>118</v>
      </c>
      <c r="R125" s="73">
        <f t="shared" si="49"/>
        <v>53.5</v>
      </c>
      <c r="S125" s="71">
        <f t="shared" si="79"/>
        <v>4.72</v>
      </c>
      <c r="T125" s="71">
        <f t="shared" si="51"/>
        <v>11</v>
      </c>
      <c r="U125" s="74">
        <f t="shared" si="80"/>
        <v>22.956363636363633</v>
      </c>
      <c r="V125" s="73">
        <f>IF(Variable_Management!$B$20=3,2,IF((S125*R125/T125)&lt;((T125*(1-(T125/R125)))/(2*Lm*Fsw)),1,2))</f>
        <v>2</v>
      </c>
      <c r="W125" s="71">
        <f t="shared" si="81"/>
        <v>0.79439252336448596</v>
      </c>
      <c r="X125" s="74">
        <f t="shared" si="82"/>
        <v>0.20560747663551404</v>
      </c>
      <c r="Y125" s="73">
        <f t="shared" si="83"/>
        <v>5.8255451713395638</v>
      </c>
      <c r="Z125" s="71">
        <f t="shared" si="77"/>
        <v>25.869136222033415</v>
      </c>
      <c r="AA125" s="71">
        <f t="shared" si="78"/>
        <v>23.017878112101652</v>
      </c>
      <c r="AB125" s="71">
        <v>0</v>
      </c>
      <c r="AC125" s="71">
        <f t="shared" si="84"/>
        <v>1.2185922394022073</v>
      </c>
      <c r="AD125" s="74">
        <f t="shared" si="67"/>
        <v>1.2185922394022073</v>
      </c>
      <c r="AE125" s="73">
        <f t="shared" si="76"/>
        <v>18.236363636363635</v>
      </c>
      <c r="AF125" s="71">
        <f t="shared" si="68"/>
        <v>20.515535619231493</v>
      </c>
      <c r="AG125" s="71">
        <f t="shared" si="85"/>
        <v>1.6835488069758244</v>
      </c>
      <c r="AH125" s="71">
        <f t="shared" si="86"/>
        <v>4.0854114343598447</v>
      </c>
      <c r="AI125" s="74">
        <f t="shared" si="69"/>
        <v>5.7689602413356695</v>
      </c>
      <c r="AJ125" s="73">
        <f t="shared" si="70"/>
        <v>4.72</v>
      </c>
      <c r="AK125" s="71">
        <f t="shared" si="87"/>
        <v>10.437217590891366</v>
      </c>
      <c r="AL125" s="71">
        <f t="shared" si="88"/>
        <v>0.43574204415844875</v>
      </c>
      <c r="AM125" s="71">
        <f t="shared" si="95"/>
        <v>2.3804000000000003</v>
      </c>
      <c r="AN125" s="188">
        <f t="shared" si="89"/>
        <v>0.31042963466440099</v>
      </c>
      <c r="AO125" s="74">
        <f t="shared" si="72"/>
        <v>3.1265716788228501</v>
      </c>
      <c r="AP125" s="73">
        <f t="shared" si="90"/>
        <v>0.79473406917535261</v>
      </c>
      <c r="AQ125" s="206">
        <f t="shared" si="91"/>
        <v>1.2185922394022073</v>
      </c>
      <c r="AR125" s="206">
        <f t="shared" si="92"/>
        <v>3.0218089420955812</v>
      </c>
      <c r="AS125" s="71">
        <f t="shared" si="93"/>
        <v>0.16</v>
      </c>
      <c r="AT125" s="74">
        <f t="shared" si="94"/>
        <v>3.6299999999999995E-5</v>
      </c>
      <c r="AU125" s="73">
        <f t="shared" si="73"/>
        <v>15.309295710233869</v>
      </c>
      <c r="AV125" s="71">
        <f t="shared" si="74"/>
        <v>252.51999999999998</v>
      </c>
      <c r="AW125" s="74">
        <f t="shared" si="75"/>
        <v>94.283935344101749</v>
      </c>
    </row>
    <row r="126" spans="17:49" x14ac:dyDescent="0.25">
      <c r="Q126">
        <v>119</v>
      </c>
      <c r="R126" s="73">
        <f t="shared" si="49"/>
        <v>53.5</v>
      </c>
      <c r="S126" s="71">
        <f t="shared" si="79"/>
        <v>4.76</v>
      </c>
      <c r="T126" s="71">
        <f t="shared" si="51"/>
        <v>11</v>
      </c>
      <c r="U126" s="74">
        <f t="shared" si="80"/>
        <v>23.150909090909092</v>
      </c>
      <c r="V126" s="73">
        <f>IF(Variable_Management!$B$20=3,2,IF((S126*R126/T126)&lt;((T126*(1-(T126/R126)))/(2*Lm*Fsw)),1,2))</f>
        <v>2</v>
      </c>
      <c r="W126" s="71">
        <f t="shared" si="81"/>
        <v>0.79439252336448596</v>
      </c>
      <c r="X126" s="74">
        <f t="shared" si="82"/>
        <v>0.20560747663551404</v>
      </c>
      <c r="Y126" s="73">
        <f t="shared" si="83"/>
        <v>5.8255451713395638</v>
      </c>
      <c r="Z126" s="71">
        <f t="shared" si="77"/>
        <v>26.063681676578874</v>
      </c>
      <c r="AA126" s="71">
        <f t="shared" si="78"/>
        <v>23.211908002448808</v>
      </c>
      <c r="AB126" s="71">
        <v>0</v>
      </c>
      <c r="AC126" s="71">
        <f t="shared" si="84"/>
        <v>1.2392231481625382</v>
      </c>
      <c r="AD126" s="74">
        <f t="shared" si="67"/>
        <v>1.2392231481625382</v>
      </c>
      <c r="AE126" s="73">
        <f t="shared" si="76"/>
        <v>18.390909090909091</v>
      </c>
      <c r="AF126" s="71">
        <f t="shared" si="68"/>
        <v>20.688471938870784</v>
      </c>
      <c r="AG126" s="71">
        <f t="shared" si="85"/>
        <v>1.7120514846617756</v>
      </c>
      <c r="AH126" s="71">
        <f t="shared" si="86"/>
        <v>4.1200335651595053</v>
      </c>
      <c r="AI126" s="74">
        <f t="shared" si="69"/>
        <v>5.8320850498212806</v>
      </c>
      <c r="AJ126" s="73">
        <f t="shared" si="70"/>
        <v>4.7600000000000007</v>
      </c>
      <c r="AK126" s="71">
        <f t="shared" si="87"/>
        <v>10.525198427996649</v>
      </c>
      <c r="AL126" s="71">
        <f t="shared" si="88"/>
        <v>0.44311920779481256</v>
      </c>
      <c r="AM126" s="71">
        <f t="shared" si="95"/>
        <v>2.3804000000000003</v>
      </c>
      <c r="AN126" s="188">
        <f t="shared" si="89"/>
        <v>0.31276418011894647</v>
      </c>
      <c r="AO126" s="74">
        <f t="shared" si="72"/>
        <v>3.1362833879137595</v>
      </c>
      <c r="AP126" s="73">
        <f t="shared" si="90"/>
        <v>0.80818900967122065</v>
      </c>
      <c r="AQ126" s="206">
        <f t="shared" si="91"/>
        <v>1.2392231481625382</v>
      </c>
      <c r="AR126" s="206">
        <f t="shared" si="92"/>
        <v>3.0218089420955812</v>
      </c>
      <c r="AS126" s="71">
        <f t="shared" si="93"/>
        <v>0.16</v>
      </c>
      <c r="AT126" s="74">
        <f t="shared" si="94"/>
        <v>3.6299999999999995E-5</v>
      </c>
      <c r="AU126" s="73">
        <f t="shared" si="73"/>
        <v>15.43684898582692</v>
      </c>
      <c r="AV126" s="71">
        <f t="shared" si="74"/>
        <v>254.66</v>
      </c>
      <c r="AW126" s="74">
        <f t="shared" si="75"/>
        <v>94.284698602079231</v>
      </c>
    </row>
    <row r="127" spans="17:49" x14ac:dyDescent="0.25">
      <c r="Q127">
        <v>120</v>
      </c>
      <c r="R127" s="73">
        <f t="shared" si="49"/>
        <v>53.5</v>
      </c>
      <c r="S127" s="71">
        <f t="shared" si="79"/>
        <v>4.8</v>
      </c>
      <c r="T127" s="71">
        <f t="shared" si="51"/>
        <v>11</v>
      </c>
      <c r="U127" s="74">
        <f t="shared" si="80"/>
        <v>23.345454545454547</v>
      </c>
      <c r="V127" s="73">
        <f>IF(Variable_Management!$B$20=3,2,IF((S127*R127/T127)&lt;((T127*(1-(T127/R127)))/(2*Lm*Fsw)),1,2))</f>
        <v>2</v>
      </c>
      <c r="W127" s="71">
        <f t="shared" si="81"/>
        <v>0.79439252336448596</v>
      </c>
      <c r="X127" s="74">
        <f t="shared" si="82"/>
        <v>0.20560747663551404</v>
      </c>
      <c r="Y127" s="73">
        <f t="shared" si="83"/>
        <v>5.8255451713395638</v>
      </c>
      <c r="Z127" s="71">
        <f t="shared" si="77"/>
        <v>26.258227131124329</v>
      </c>
      <c r="AA127" s="71">
        <f t="shared" si="78"/>
        <v>23.405946451970156</v>
      </c>
      <c r="AB127" s="71">
        <v>0</v>
      </c>
      <c r="AC127" s="71">
        <f t="shared" si="84"/>
        <v>1.2600281574187371</v>
      </c>
      <c r="AD127" s="74">
        <f t="shared" si="67"/>
        <v>1.2600281574187371</v>
      </c>
      <c r="AE127" s="73">
        <f t="shared" si="76"/>
        <v>18.545454545454547</v>
      </c>
      <c r="AF127" s="71">
        <f t="shared" si="68"/>
        <v>20.861415887190795</v>
      </c>
      <c r="AG127" s="71">
        <f t="shared" si="85"/>
        <v>1.7407946912733461</v>
      </c>
      <c r="AH127" s="71">
        <f t="shared" si="86"/>
        <v>4.1546556959591641</v>
      </c>
      <c r="AI127" s="74">
        <f t="shared" si="69"/>
        <v>5.8954503872325104</v>
      </c>
      <c r="AJ127" s="73">
        <f t="shared" si="70"/>
        <v>4.8000000000000007</v>
      </c>
      <c r="AK127" s="71">
        <f t="shared" si="87"/>
        <v>10.613183146170506</v>
      </c>
      <c r="AL127" s="71">
        <f t="shared" si="88"/>
        <v>0.45055862597663071</v>
      </c>
      <c r="AM127" s="71">
        <f t="shared" si="95"/>
        <v>2.3804000000000003</v>
      </c>
      <c r="AN127" s="188">
        <f t="shared" si="89"/>
        <v>0.31509872557349194</v>
      </c>
      <c r="AO127" s="74">
        <f t="shared" si="72"/>
        <v>3.1460573515501227</v>
      </c>
      <c r="AP127" s="73">
        <f t="shared" si="90"/>
        <v>0.82175749396874154</v>
      </c>
      <c r="AQ127" s="206">
        <f t="shared" si="91"/>
        <v>1.2600281574187371</v>
      </c>
      <c r="AR127" s="206">
        <f t="shared" si="92"/>
        <v>3.0218089420955812</v>
      </c>
      <c r="AS127" s="71">
        <f t="shared" si="93"/>
        <v>0.16</v>
      </c>
      <c r="AT127" s="74">
        <f t="shared" si="94"/>
        <v>3.6299999999999995E-5</v>
      </c>
      <c r="AU127" s="73">
        <f t="shared" si="73"/>
        <v>15.565166789684429</v>
      </c>
      <c r="AV127" s="71">
        <f t="shared" si="74"/>
        <v>256.8</v>
      </c>
      <c r="AW127" s="74">
        <f t="shared" si="75"/>
        <v>94.285184492147792</v>
      </c>
    </row>
    <row r="128" spans="17:49" x14ac:dyDescent="0.25">
      <c r="Q128">
        <v>121</v>
      </c>
      <c r="R128" s="73">
        <f t="shared" si="49"/>
        <v>53.5</v>
      </c>
      <c r="S128" s="71">
        <f t="shared" si="79"/>
        <v>4.84</v>
      </c>
      <c r="T128" s="71">
        <f t="shared" si="51"/>
        <v>11</v>
      </c>
      <c r="U128" s="74">
        <f t="shared" si="80"/>
        <v>23.54</v>
      </c>
      <c r="V128" s="73">
        <f>IF(Variable_Management!$B$20=3,2,IF((S128*R128/T128)&lt;((T128*(1-(T128/R128)))/(2*Lm*Fsw)),1,2))</f>
        <v>2</v>
      </c>
      <c r="W128" s="71">
        <f t="shared" si="81"/>
        <v>0.79439252336448596</v>
      </c>
      <c r="X128" s="74">
        <f t="shared" si="82"/>
        <v>0.20560747663551404</v>
      </c>
      <c r="Y128" s="73">
        <f t="shared" si="83"/>
        <v>5.8255451713395638</v>
      </c>
      <c r="Z128" s="71">
        <f t="shared" si="77"/>
        <v>26.452772585669781</v>
      </c>
      <c r="AA128" s="71">
        <f t="shared" si="78"/>
        <v>23.59999324954585</v>
      </c>
      <c r="AB128" s="71">
        <v>0</v>
      </c>
      <c r="AC128" s="71">
        <f t="shared" si="84"/>
        <v>1.2810072671708024</v>
      </c>
      <c r="AD128" s="74">
        <f t="shared" si="67"/>
        <v>1.2810072671708024</v>
      </c>
      <c r="AE128" s="73">
        <f t="shared" si="76"/>
        <v>18.7</v>
      </c>
      <c r="AF128" s="71">
        <f t="shared" si="68"/>
        <v>21.034367276023154</v>
      </c>
      <c r="AG128" s="71">
        <f t="shared" si="85"/>
        <v>1.769778426810535</v>
      </c>
      <c r="AH128" s="71">
        <f t="shared" si="86"/>
        <v>4.1892778267588229</v>
      </c>
      <c r="AI128" s="74">
        <f t="shared" si="69"/>
        <v>5.9590562535693579</v>
      </c>
      <c r="AJ128" s="73">
        <f t="shared" si="70"/>
        <v>4.8400000000000007</v>
      </c>
      <c r="AK128" s="71">
        <f t="shared" si="87"/>
        <v>10.701171649682843</v>
      </c>
      <c r="AL128" s="71">
        <f t="shared" si="88"/>
        <v>0.4580602987039033</v>
      </c>
      <c r="AM128" s="71">
        <f t="shared" si="95"/>
        <v>2.3804000000000003</v>
      </c>
      <c r="AN128" s="188">
        <f t="shared" si="89"/>
        <v>0.31743327102803737</v>
      </c>
      <c r="AO128" s="74">
        <f t="shared" si="72"/>
        <v>3.155893569731941</v>
      </c>
      <c r="AP128" s="73">
        <f t="shared" si="90"/>
        <v>0.83543952206791461</v>
      </c>
      <c r="AQ128" s="206">
        <f t="shared" si="91"/>
        <v>1.2810072671708024</v>
      </c>
      <c r="AR128" s="206">
        <f t="shared" si="92"/>
        <v>3.0218089420955812</v>
      </c>
      <c r="AS128" s="71">
        <f t="shared" si="93"/>
        <v>0.16</v>
      </c>
      <c r="AT128" s="74">
        <f t="shared" si="94"/>
        <v>3.6299999999999995E-5</v>
      </c>
      <c r="AU128" s="73">
        <f t="shared" si="73"/>
        <v>15.694249121806397</v>
      </c>
      <c r="AV128" s="71">
        <f t="shared" si="74"/>
        <v>258.94</v>
      </c>
      <c r="AW128" s="74">
        <f t="shared" si="75"/>
        <v>94.28539988293825</v>
      </c>
    </row>
    <row r="129" spans="17:49" x14ac:dyDescent="0.25">
      <c r="Q129">
        <v>122</v>
      </c>
      <c r="R129" s="73">
        <f t="shared" si="49"/>
        <v>53.5</v>
      </c>
      <c r="S129" s="71">
        <f t="shared" si="79"/>
        <v>4.88</v>
      </c>
      <c r="T129" s="71">
        <f t="shared" si="51"/>
        <v>11</v>
      </c>
      <c r="U129" s="74">
        <f t="shared" si="80"/>
        <v>23.734545454545454</v>
      </c>
      <c r="V129" s="73">
        <f>IF(Variable_Management!$B$20=3,2,IF((S129*R129/T129)&lt;((T129*(1-(T129/R129)))/(2*Lm*Fsw)),1,2))</f>
        <v>2</v>
      </c>
      <c r="W129" s="71">
        <f t="shared" si="81"/>
        <v>0.79439252336448596</v>
      </c>
      <c r="X129" s="74">
        <f t="shared" si="82"/>
        <v>0.20560747663551404</v>
      </c>
      <c r="Y129" s="73">
        <f t="shared" si="83"/>
        <v>5.8255451713395638</v>
      </c>
      <c r="Z129" s="71">
        <f t="shared" si="77"/>
        <v>26.647318040215236</v>
      </c>
      <c r="AA129" s="71">
        <f t="shared" si="78"/>
        <v>23.794048190934095</v>
      </c>
      <c r="AB129" s="71">
        <v>0</v>
      </c>
      <c r="AC129" s="71">
        <f t="shared" si="84"/>
        <v>1.3021604774187365</v>
      </c>
      <c r="AD129" s="74">
        <f t="shared" si="67"/>
        <v>1.3021604774187365</v>
      </c>
      <c r="AE129" s="73">
        <f t="shared" si="76"/>
        <v>18.854545454545455</v>
      </c>
      <c r="AF129" s="71">
        <f t="shared" si="68"/>
        <v>21.207325923329805</v>
      </c>
      <c r="AG129" s="71">
        <f t="shared" si="85"/>
        <v>1.7990026912733454</v>
      </c>
      <c r="AH129" s="71">
        <f t="shared" si="86"/>
        <v>4.2238999575584835</v>
      </c>
      <c r="AI129" s="74">
        <f t="shared" si="69"/>
        <v>6.0229026488318294</v>
      </c>
      <c r="AJ129" s="73">
        <f t="shared" si="70"/>
        <v>4.8800000000000008</v>
      </c>
      <c r="AK129" s="71">
        <f t="shared" si="87"/>
        <v>10.789163845922337</v>
      </c>
      <c r="AL129" s="71">
        <f t="shared" si="88"/>
        <v>0.46562422597663067</v>
      </c>
      <c r="AM129" s="71">
        <f t="shared" si="95"/>
        <v>2.3804000000000003</v>
      </c>
      <c r="AN129" s="188">
        <f t="shared" si="89"/>
        <v>0.31976781648258285</v>
      </c>
      <c r="AO129" s="74">
        <f t="shared" si="72"/>
        <v>3.1657920424592141</v>
      </c>
      <c r="AP129" s="73">
        <f t="shared" si="90"/>
        <v>0.84923509396874119</v>
      </c>
      <c r="AQ129" s="206">
        <f t="shared" si="91"/>
        <v>1.3021604774187365</v>
      </c>
      <c r="AR129" s="206">
        <f t="shared" si="92"/>
        <v>3.0218089420955812</v>
      </c>
      <c r="AS129" s="71">
        <f t="shared" si="93"/>
        <v>0.16</v>
      </c>
      <c r="AT129" s="74">
        <f t="shared" si="94"/>
        <v>3.6299999999999995E-5</v>
      </c>
      <c r="AU129" s="73">
        <f t="shared" si="73"/>
        <v>15.824095982192837</v>
      </c>
      <c r="AV129" s="71">
        <f t="shared" si="74"/>
        <v>261.08</v>
      </c>
      <c r="AW129" s="74">
        <f t="shared" si="75"/>
        <v>94.285351422461289</v>
      </c>
    </row>
    <row r="130" spans="17:49" x14ac:dyDescent="0.25">
      <c r="Q130">
        <v>123</v>
      </c>
      <c r="R130" s="73">
        <f t="shared" si="49"/>
        <v>53.5</v>
      </c>
      <c r="S130" s="71">
        <f t="shared" si="79"/>
        <v>4.92</v>
      </c>
      <c r="T130" s="71">
        <f t="shared" si="51"/>
        <v>11</v>
      </c>
      <c r="U130" s="74">
        <f t="shared" si="80"/>
        <v>23.929090909090906</v>
      </c>
      <c r="V130" s="73">
        <f>IF(Variable_Management!$B$20=3,2,IF((S130*R130/T130)&lt;((T130*(1-(T130/R130)))/(2*Lm*Fsw)),1,2))</f>
        <v>2</v>
      </c>
      <c r="W130" s="71">
        <f t="shared" si="81"/>
        <v>0.79439252336448596</v>
      </c>
      <c r="X130" s="74">
        <f t="shared" si="82"/>
        <v>0.20560747663551404</v>
      </c>
      <c r="Y130" s="73">
        <f t="shared" si="83"/>
        <v>5.8255451713395638</v>
      </c>
      <c r="Z130" s="71">
        <f t="shared" si="77"/>
        <v>26.841863494760688</v>
      </c>
      <c r="AA130" s="71">
        <f t="shared" si="78"/>
        <v>23.988111078493588</v>
      </c>
      <c r="AB130" s="71">
        <v>0</v>
      </c>
      <c r="AC130" s="71">
        <f t="shared" si="84"/>
        <v>1.3234877881625378</v>
      </c>
      <c r="AD130" s="74">
        <f t="shared" si="67"/>
        <v>1.3234877881625378</v>
      </c>
      <c r="AE130" s="73">
        <f t="shared" si="76"/>
        <v>19.009090909090908</v>
      </c>
      <c r="AF130" s="71">
        <f t="shared" si="68"/>
        <v>21.380291652955616</v>
      </c>
      <c r="AG130" s="71">
        <f t="shared" si="85"/>
        <v>1.8284674846617746</v>
      </c>
      <c r="AH130" s="71">
        <f t="shared" si="86"/>
        <v>4.2585220883581432</v>
      </c>
      <c r="AI130" s="74">
        <f t="shared" si="69"/>
        <v>6.0869895730199177</v>
      </c>
      <c r="AJ130" s="73">
        <f t="shared" si="70"/>
        <v>4.92</v>
      </c>
      <c r="AK130" s="71">
        <f t="shared" si="87"/>
        <v>10.877159645270591</v>
      </c>
      <c r="AL130" s="71">
        <f t="shared" si="88"/>
        <v>0.47325040779481226</v>
      </c>
      <c r="AM130" s="71">
        <f t="shared" si="95"/>
        <v>2.3804000000000003</v>
      </c>
      <c r="AN130" s="188">
        <f t="shared" si="89"/>
        <v>0.32210236193712827</v>
      </c>
      <c r="AO130" s="74">
        <f t="shared" si="72"/>
        <v>3.175752769731941</v>
      </c>
      <c r="AP130" s="73">
        <f t="shared" si="90"/>
        <v>0.8631442096712203</v>
      </c>
      <c r="AQ130" s="206">
        <f t="shared" si="91"/>
        <v>1.3234877881625378</v>
      </c>
      <c r="AR130" s="206">
        <f t="shared" si="92"/>
        <v>3.0218089420955812</v>
      </c>
      <c r="AS130" s="71">
        <f t="shared" si="93"/>
        <v>0.16</v>
      </c>
      <c r="AT130" s="74">
        <f t="shared" si="94"/>
        <v>3.6299999999999995E-5</v>
      </c>
      <c r="AU130" s="73">
        <f t="shared" si="73"/>
        <v>15.954707370843735</v>
      </c>
      <c r="AV130" s="71">
        <f t="shared" si="74"/>
        <v>263.21999999999997</v>
      </c>
      <c r="AW130" s="74">
        <f t="shared" si="75"/>
        <v>94.285045546891126</v>
      </c>
    </row>
    <row r="131" spans="17:49" x14ac:dyDescent="0.25">
      <c r="Q131">
        <v>124</v>
      </c>
      <c r="R131" s="73">
        <f t="shared" si="49"/>
        <v>53.5</v>
      </c>
      <c r="S131" s="71">
        <f t="shared" si="79"/>
        <v>4.96</v>
      </c>
      <c r="T131" s="71">
        <f t="shared" si="51"/>
        <v>11</v>
      </c>
      <c r="U131" s="74">
        <f t="shared" si="80"/>
        <v>24.123636363636365</v>
      </c>
      <c r="V131" s="73">
        <f>IF(Variable_Management!$B$20=3,2,IF((S131*R131/T131)&lt;((T131*(1-(T131/R131)))/(2*Lm*Fsw)),1,2))</f>
        <v>2</v>
      </c>
      <c r="W131" s="71">
        <f t="shared" si="81"/>
        <v>0.79439252336448596</v>
      </c>
      <c r="X131" s="74">
        <f t="shared" si="82"/>
        <v>0.20560747663551404</v>
      </c>
      <c r="Y131" s="73">
        <f t="shared" si="83"/>
        <v>5.8255451713395638</v>
      </c>
      <c r="Z131" s="71">
        <f t="shared" si="77"/>
        <v>27.036408949306146</v>
      </c>
      <c r="AA131" s="71">
        <f t="shared" si="78"/>
        <v>24.182181720919406</v>
      </c>
      <c r="AB131" s="71">
        <v>0</v>
      </c>
      <c r="AC131" s="71">
        <f t="shared" si="84"/>
        <v>1.3449891994022081</v>
      </c>
      <c r="AD131" s="74">
        <f t="shared" si="67"/>
        <v>1.3449891994022081</v>
      </c>
      <c r="AE131" s="73">
        <f t="shared" si="76"/>
        <v>19.163636363636364</v>
      </c>
      <c r="AF131" s="71">
        <f t="shared" si="68"/>
        <v>21.553264294393003</v>
      </c>
      <c r="AG131" s="71">
        <f t="shared" si="85"/>
        <v>1.8581728069758254</v>
      </c>
      <c r="AH131" s="71">
        <f t="shared" si="86"/>
        <v>4.2931442191578029</v>
      </c>
      <c r="AI131" s="74">
        <f t="shared" si="69"/>
        <v>6.1513170261336283</v>
      </c>
      <c r="AJ131" s="73">
        <f t="shared" si="70"/>
        <v>4.9600000000000009</v>
      </c>
      <c r="AK131" s="71">
        <f t="shared" si="87"/>
        <v>10.965158960982382</v>
      </c>
      <c r="AL131" s="71">
        <f t="shared" si="88"/>
        <v>0.48093884415844895</v>
      </c>
      <c r="AM131" s="71">
        <f t="shared" si="95"/>
        <v>2.3804000000000003</v>
      </c>
      <c r="AN131" s="188">
        <f t="shared" si="89"/>
        <v>0.32443690739167375</v>
      </c>
      <c r="AO131" s="74">
        <f t="shared" si="72"/>
        <v>3.185775751550123</v>
      </c>
      <c r="AP131" s="73">
        <f t="shared" si="90"/>
        <v>0.87716686917535303</v>
      </c>
      <c r="AQ131" s="206">
        <f t="shared" si="91"/>
        <v>1.3449891994022081</v>
      </c>
      <c r="AR131" s="206">
        <f t="shared" si="92"/>
        <v>3.0218089420955812</v>
      </c>
      <c r="AS131" s="71">
        <f t="shared" si="93"/>
        <v>0.16</v>
      </c>
      <c r="AT131" s="74">
        <f t="shared" si="94"/>
        <v>3.6299999999999995E-5</v>
      </c>
      <c r="AU131" s="73">
        <f t="shared" si="73"/>
        <v>16.086083287759102</v>
      </c>
      <c r="AV131" s="71">
        <f t="shared" si="74"/>
        <v>265.36</v>
      </c>
      <c r="AW131" s="74">
        <f t="shared" si="75"/>
        <v>94.284488488932993</v>
      </c>
    </row>
    <row r="132" spans="17:49" x14ac:dyDescent="0.25">
      <c r="Q132">
        <v>125</v>
      </c>
      <c r="R132" s="73">
        <f t="shared" si="49"/>
        <v>53.5</v>
      </c>
      <c r="S132" s="71">
        <f t="shared" si="79"/>
        <v>5</v>
      </c>
      <c r="T132" s="71">
        <f t="shared" si="51"/>
        <v>11</v>
      </c>
      <c r="U132" s="74">
        <f t="shared" si="80"/>
        <v>24.318181818181817</v>
      </c>
      <c r="V132" s="73">
        <f>IF(Variable_Management!$B$20=3,2,IF((S132*R132/T132)&lt;((T132*(1-(T132/R132)))/(2*Lm*Fsw)),1,2))</f>
        <v>2</v>
      </c>
      <c r="W132" s="71">
        <f t="shared" si="81"/>
        <v>0.79439252336448596</v>
      </c>
      <c r="X132" s="74">
        <f t="shared" si="82"/>
        <v>0.20560747663551404</v>
      </c>
      <c r="Y132" s="73">
        <f t="shared" si="83"/>
        <v>5.8255451713395638</v>
      </c>
      <c r="Z132" s="71">
        <f t="shared" si="77"/>
        <v>27.230954403851598</v>
      </c>
      <c r="AA132" s="71">
        <f t="shared" si="78"/>
        <v>24.376259932991328</v>
      </c>
      <c r="AB132" s="71">
        <v>0</v>
      </c>
      <c r="AC132" s="71">
        <f t="shared" si="84"/>
        <v>1.3666647111377443</v>
      </c>
      <c r="AD132" s="74">
        <f t="shared" si="67"/>
        <v>1.3666647111377443</v>
      </c>
      <c r="AE132" s="73">
        <f t="shared" si="76"/>
        <v>19.318181818181817</v>
      </c>
      <c r="AF132" s="71">
        <f t="shared" si="68"/>
        <v>21.726243682557588</v>
      </c>
      <c r="AG132" s="71">
        <f t="shared" si="85"/>
        <v>1.8881186582154941</v>
      </c>
      <c r="AH132" s="71">
        <f t="shared" si="86"/>
        <v>4.3277663499574626</v>
      </c>
      <c r="AI132" s="74">
        <f t="shared" si="69"/>
        <v>6.2158850081729566</v>
      </c>
      <c r="AJ132" s="73">
        <f t="shared" si="70"/>
        <v>5</v>
      </c>
      <c r="AK132" s="71">
        <f t="shared" si="87"/>
        <v>11.053161709071523</v>
      </c>
      <c r="AL132" s="71">
        <f t="shared" si="88"/>
        <v>0.48868953506753965</v>
      </c>
      <c r="AM132" s="71">
        <f t="shared" si="95"/>
        <v>2.3804000000000003</v>
      </c>
      <c r="AN132" s="188">
        <f t="shared" si="89"/>
        <v>0.32677145284621917</v>
      </c>
      <c r="AO132" s="74">
        <f t="shared" si="72"/>
        <v>3.1958609879137589</v>
      </c>
      <c r="AP132" s="73">
        <f t="shared" si="90"/>
        <v>0.8913030724811376</v>
      </c>
      <c r="AQ132" s="206">
        <f t="shared" si="91"/>
        <v>1.3666647111377443</v>
      </c>
      <c r="AR132" s="206">
        <f t="shared" si="92"/>
        <v>3.0218089420955812</v>
      </c>
      <c r="AS132" s="71">
        <f t="shared" si="93"/>
        <v>0.16</v>
      </c>
      <c r="AT132" s="74">
        <f t="shared" si="94"/>
        <v>3.6299999999999995E-5</v>
      </c>
      <c r="AU132" s="73">
        <f t="shared" si="73"/>
        <v>16.218223732938924</v>
      </c>
      <c r="AV132" s="71">
        <f t="shared" si="74"/>
        <v>267.5</v>
      </c>
      <c r="AW132" s="74">
        <f t="shared" si="75"/>
        <v>94.283686285797089</v>
      </c>
    </row>
    <row r="133" spans="17:49" x14ac:dyDescent="0.25">
      <c r="Q133">
        <v>126</v>
      </c>
      <c r="R133" s="73">
        <f t="shared" si="49"/>
        <v>53.5</v>
      </c>
      <c r="S133" s="71">
        <f t="shared" si="79"/>
        <v>5.04</v>
      </c>
      <c r="T133" s="71">
        <f t="shared" si="51"/>
        <v>11</v>
      </c>
      <c r="U133" s="74">
        <f t="shared" si="80"/>
        <v>24.512727272727272</v>
      </c>
      <c r="V133" s="73">
        <f>IF(Variable_Management!$B$20=3,2,IF((S133*R133/T133)&lt;((T133*(1-(T133/R133)))/(2*Lm*Fsw)),1,2))</f>
        <v>2</v>
      </c>
      <c r="W133" s="71">
        <f t="shared" si="81"/>
        <v>0.79439252336448596</v>
      </c>
      <c r="X133" s="74">
        <f t="shared" si="82"/>
        <v>0.20560747663551404</v>
      </c>
      <c r="Y133" s="73">
        <f t="shared" si="83"/>
        <v>5.8255451713395638</v>
      </c>
      <c r="Z133" s="71">
        <f t="shared" si="77"/>
        <v>27.425499858397053</v>
      </c>
      <c r="AA133" s="71">
        <f t="shared" si="78"/>
        <v>24.570345535334198</v>
      </c>
      <c r="AB133" s="71">
        <v>0</v>
      </c>
      <c r="AC133" s="71">
        <f t="shared" si="84"/>
        <v>1.3885143233691495</v>
      </c>
      <c r="AD133" s="74">
        <f t="shared" si="67"/>
        <v>1.3885143233691495</v>
      </c>
      <c r="AE133" s="73">
        <f t="shared" si="76"/>
        <v>19.472727272727273</v>
      </c>
      <c r="AF133" s="71">
        <f t="shared" si="68"/>
        <v>21.899229657574622</v>
      </c>
      <c r="AG133" s="71">
        <f t="shared" si="85"/>
        <v>1.9183050383807836</v>
      </c>
      <c r="AH133" s="71">
        <f t="shared" si="86"/>
        <v>4.3623884807571232</v>
      </c>
      <c r="AI133" s="74">
        <f t="shared" si="69"/>
        <v>6.2806935191379072</v>
      </c>
      <c r="AJ133" s="73">
        <f t="shared" si="70"/>
        <v>5.04</v>
      </c>
      <c r="AK133" s="71">
        <f t="shared" si="87"/>
        <v>11.141167808202212</v>
      </c>
      <c r="AL133" s="71">
        <f t="shared" si="88"/>
        <v>0.49650248052208512</v>
      </c>
      <c r="AM133" s="71">
        <f t="shared" si="95"/>
        <v>2.3804000000000003</v>
      </c>
      <c r="AN133" s="188">
        <f t="shared" si="89"/>
        <v>0.32910599830076465</v>
      </c>
      <c r="AO133" s="74">
        <f t="shared" si="72"/>
        <v>3.20600847882285</v>
      </c>
      <c r="AP133" s="73">
        <f t="shared" si="90"/>
        <v>0.90555281958857581</v>
      </c>
      <c r="AQ133" s="206">
        <f t="shared" si="91"/>
        <v>1.3885143233691495</v>
      </c>
      <c r="AR133" s="206">
        <f t="shared" si="92"/>
        <v>3.0218089420955812</v>
      </c>
      <c r="AS133" s="71">
        <f t="shared" si="93"/>
        <v>0.16</v>
      </c>
      <c r="AT133" s="74">
        <f t="shared" si="94"/>
        <v>3.6299999999999995E-5</v>
      </c>
      <c r="AU133" s="73">
        <f t="shared" si="73"/>
        <v>16.351128706383211</v>
      </c>
      <c r="AV133" s="71">
        <f t="shared" si="74"/>
        <v>269.64</v>
      </c>
      <c r="AW133" s="74">
        <f t="shared" si="75"/>
        <v>94.282644786800233</v>
      </c>
    </row>
    <row r="134" spans="17:49" x14ac:dyDescent="0.25">
      <c r="Q134">
        <v>127</v>
      </c>
      <c r="R134" s="73">
        <f t="shared" si="49"/>
        <v>53.5</v>
      </c>
      <c r="S134" s="71">
        <f t="shared" si="79"/>
        <v>5.08</v>
      </c>
      <c r="T134" s="71">
        <f t="shared" si="51"/>
        <v>11</v>
      </c>
      <c r="U134" s="74">
        <f t="shared" si="80"/>
        <v>24.707272727272731</v>
      </c>
      <c r="V134" s="73">
        <f>IF(Variable_Management!$B$20=3,2,IF((S134*R134/T134)&lt;((T134*(1-(T134/R134)))/(2*Lm*Fsw)),1,2))</f>
        <v>2</v>
      </c>
      <c r="W134" s="71">
        <f t="shared" si="81"/>
        <v>0.79439252336448596</v>
      </c>
      <c r="X134" s="74">
        <f t="shared" si="82"/>
        <v>0.20560747663551404</v>
      </c>
      <c r="Y134" s="73">
        <f t="shared" si="83"/>
        <v>5.8255451713395638</v>
      </c>
      <c r="Z134" s="71">
        <f t="shared" si="77"/>
        <v>27.620045312942512</v>
      </c>
      <c r="AA134" s="71">
        <f t="shared" si="78"/>
        <v>24.764438354189352</v>
      </c>
      <c r="AB134" s="71">
        <v>0</v>
      </c>
      <c r="AC134" s="71">
        <f t="shared" si="84"/>
        <v>1.4105380360964226</v>
      </c>
      <c r="AD134" s="74">
        <f t="shared" si="67"/>
        <v>1.4105380360964226</v>
      </c>
      <c r="AE134" s="73">
        <f t="shared" si="76"/>
        <v>19.627272727272729</v>
      </c>
      <c r="AF134" s="71">
        <f t="shared" si="68"/>
        <v>22.072222064575268</v>
      </c>
      <c r="AG134" s="71">
        <f t="shared" si="85"/>
        <v>1.9487319474716933</v>
      </c>
      <c r="AH134" s="71">
        <f t="shared" si="86"/>
        <v>4.3970106115567829</v>
      </c>
      <c r="AI134" s="74">
        <f t="shared" si="69"/>
        <v>6.3457425590284764</v>
      </c>
      <c r="AJ134" s="73">
        <f t="shared" si="70"/>
        <v>5.080000000000001</v>
      </c>
      <c r="AK134" s="71">
        <f t="shared" si="87"/>
        <v>11.229177179585394</v>
      </c>
      <c r="AL134" s="71">
        <f t="shared" si="88"/>
        <v>0.50437768052208554</v>
      </c>
      <c r="AM134" s="71">
        <f t="shared" si="95"/>
        <v>2.3804000000000003</v>
      </c>
      <c r="AN134" s="188">
        <f t="shared" si="89"/>
        <v>0.33144054375531018</v>
      </c>
      <c r="AO134" s="74">
        <f t="shared" si="72"/>
        <v>3.2162182242773962</v>
      </c>
      <c r="AP134" s="73">
        <f t="shared" si="90"/>
        <v>0.91991611049766686</v>
      </c>
      <c r="AQ134" s="206">
        <f t="shared" si="91"/>
        <v>1.4105380360964226</v>
      </c>
      <c r="AR134" s="206">
        <f t="shared" si="92"/>
        <v>3.0218089420955812</v>
      </c>
      <c r="AS134" s="71">
        <f t="shared" si="93"/>
        <v>0.16</v>
      </c>
      <c r="AT134" s="74">
        <f t="shared" si="94"/>
        <v>3.6299999999999995E-5</v>
      </c>
      <c r="AU134" s="73">
        <f t="shared" si="73"/>
        <v>16.484798208091966</v>
      </c>
      <c r="AV134" s="71">
        <f t="shared" si="74"/>
        <v>271.78000000000003</v>
      </c>
      <c r="AW134" s="74">
        <f t="shared" si="75"/>
        <v>94.281369660616022</v>
      </c>
    </row>
    <row r="135" spans="17:49" x14ac:dyDescent="0.25">
      <c r="Q135">
        <v>128</v>
      </c>
      <c r="R135" s="73">
        <f t="shared" ref="R135:R157" si="96">VOUT</f>
        <v>53.5</v>
      </c>
      <c r="S135" s="71">
        <f t="shared" ref="S135:S157" si="97">Q135*$O$12</f>
        <v>5.12</v>
      </c>
      <c r="T135" s="71">
        <f t="shared" ref="T135:T157" si="98">VIN_var</f>
        <v>11</v>
      </c>
      <c r="U135" s="74">
        <f t="shared" ref="U135:U157" si="99">(R135*S135)/(T135*EFF_est)</f>
        <v>24.901818181818182</v>
      </c>
      <c r="V135" s="73">
        <f>IF(Variable_Management!$B$20=3,2,IF((S135*R135/T135)&lt;((T135*(1-(T135/R135)))/(2*Lm*Fsw)),1,2))</f>
        <v>2</v>
      </c>
      <c r="W135" s="71">
        <f t="shared" ref="W135:W157" si="100">CHOOSE(V135,SQRT((2*S135*Lm*Fsw*(R135-T135))/((T135)^2)),1-(T135/R135))</f>
        <v>0.79439252336448596</v>
      </c>
      <c r="X135" s="74">
        <f t="shared" ref="X135:X157" si="101">CHOOSE(V135,(Lm*Z135*Fsw)/(R135-T135),1-W135)</f>
        <v>0.20560747663551404</v>
      </c>
      <c r="Y135" s="73">
        <f t="shared" ref="Y135:Y157" si="102">(T135*W135)/(Lm*Fsw)</f>
        <v>5.8255451713395638</v>
      </c>
      <c r="Z135" s="71">
        <f t="shared" si="77"/>
        <v>27.814590767487964</v>
      </c>
      <c r="AA135" s="71">
        <f t="shared" si="78"/>
        <v>24.958538221196779</v>
      </c>
      <c r="AB135" s="71">
        <v>0</v>
      </c>
      <c r="AC135" s="71">
        <f t="shared" ref="AC135:AC157" si="103">(AA135^2)*Rdcr</f>
        <v>1.432735849319563</v>
      </c>
      <c r="AD135" s="74">
        <f t="shared" si="67"/>
        <v>1.432735849319563</v>
      </c>
      <c r="AE135" s="73">
        <f t="shared" si="76"/>
        <v>19.781818181818181</v>
      </c>
      <c r="AF135" s="71">
        <f t="shared" si="68"/>
        <v>22.245220753502434</v>
      </c>
      <c r="AG135" s="71">
        <f t="shared" ref="AG135:AG157" si="104">(AF135^2)*RDS_on</f>
        <v>1.9793993854882215</v>
      </c>
      <c r="AH135" s="71">
        <f t="shared" ref="AH135:AH157" si="105">((R135*U135)/2)*Fsw*(tr_sw+tf_sw)</f>
        <v>4.4316327423564417</v>
      </c>
      <c r="AI135" s="74">
        <f t="shared" si="69"/>
        <v>6.4110321278446634</v>
      </c>
      <c r="AJ135" s="73">
        <f t="shared" si="70"/>
        <v>5.120000000000001</v>
      </c>
      <c r="AK135" s="71">
        <f t="shared" ref="AK135:AK157" si="106">CHOOSE(V135,Z135*SQRT(X135/3),SQRT(X135*((Z135^2)+((Y135^2)/3)-(Y135*Z135))))</f>
        <v>11.317189746879963</v>
      </c>
      <c r="AL135" s="71">
        <f t="shared" ref="AL135:AL157" si="107">(AK135^2)*RDS_on_HS</f>
        <v>0.51231513506753978</v>
      </c>
      <c r="AM135" s="71">
        <f t="shared" si="95"/>
        <v>2.3804000000000003</v>
      </c>
      <c r="AN135" s="188">
        <f t="shared" ref="AN135:AN156" si="108">Vd_rect*t_dead*Fsw*Z135</f>
        <v>0.33377508920985555</v>
      </c>
      <c r="AO135" s="74">
        <f t="shared" si="72"/>
        <v>3.2264902242773958</v>
      </c>
      <c r="AP135" s="73">
        <f t="shared" ref="AP135:AP157" si="109">(AA135^2)*R_cs</f>
        <v>0.93439294520841065</v>
      </c>
      <c r="AQ135" s="206">
        <f t="shared" ref="AQ135:AQ157" si="110">Rdcr*AA135^2</f>
        <v>1.432735849319563</v>
      </c>
      <c r="AR135" s="206">
        <f t="shared" ref="AR135:AR157" si="111">ABS(7.759*10^-3*Fsw^0.9458*(0.00787*Y135)^2.304)</f>
        <v>3.0218089420955812</v>
      </c>
      <c r="AS135" s="71">
        <f t="shared" ref="AS135:AS157" si="112">(Qg_tot+Qg_tot_HS)*Vcc*Fsw</f>
        <v>0.16</v>
      </c>
      <c r="AT135" s="74">
        <f t="shared" ref="AT135:AT157" si="113">IQ*T135</f>
        <v>3.6299999999999995E-5</v>
      </c>
      <c r="AU135" s="73">
        <f t="shared" si="73"/>
        <v>16.619232238065177</v>
      </c>
      <c r="AV135" s="71">
        <f t="shared" si="74"/>
        <v>273.92</v>
      </c>
      <c r="AW135" s="74">
        <f t="shared" si="75"/>
        <v>94.279866402191232</v>
      </c>
    </row>
    <row r="136" spans="17:49" x14ac:dyDescent="0.25">
      <c r="Q136">
        <v>129</v>
      </c>
      <c r="R136" s="73">
        <f t="shared" si="96"/>
        <v>53.5</v>
      </c>
      <c r="S136" s="71">
        <f t="shared" si="97"/>
        <v>5.16</v>
      </c>
      <c r="T136" s="71">
        <f t="shared" si="98"/>
        <v>11</v>
      </c>
      <c r="U136" s="74">
        <f t="shared" si="99"/>
        <v>25.096363636363638</v>
      </c>
      <c r="V136" s="73">
        <f>IF(Variable_Management!$B$20=3,2,IF((S136*R136/T136)&lt;((T136*(1-(T136/R136)))/(2*Lm*Fsw)),1,2))</f>
        <v>2</v>
      </c>
      <c r="W136" s="71">
        <f t="shared" si="100"/>
        <v>0.79439252336448596</v>
      </c>
      <c r="X136" s="74">
        <f t="shared" si="101"/>
        <v>0.20560747663551404</v>
      </c>
      <c r="Y136" s="73">
        <f t="shared" si="102"/>
        <v>5.8255451713395638</v>
      </c>
      <c r="Z136" s="71">
        <f t="shared" si="77"/>
        <v>28.009136222033419</v>
      </c>
      <c r="AA136" s="71">
        <f t="shared" si="78"/>
        <v>25.152644973187311</v>
      </c>
      <c r="AB136" s="71">
        <v>0</v>
      </c>
      <c r="AC136" s="71">
        <f t="shared" si="103"/>
        <v>1.4551077630385711</v>
      </c>
      <c r="AD136" s="74">
        <f t="shared" ref="AD136:AD157" si="114">AB136+AC136</f>
        <v>1.4551077630385711</v>
      </c>
      <c r="AE136" s="73">
        <f t="shared" si="76"/>
        <v>19.936363636363637</v>
      </c>
      <c r="AF136" s="71">
        <f t="shared" ref="AF136:AF157" si="115">CHOOSE(V136,Z136*SQRT(W136/3),SQRT(W136*((Z136^2)+((Y136^2)/3)-(Z136*Y136))))</f>
        <v>22.418225578925568</v>
      </c>
      <c r="AG136" s="71">
        <f t="shared" si="104"/>
        <v>2.0103073524303707</v>
      </c>
      <c r="AH136" s="71">
        <f t="shared" si="105"/>
        <v>4.4662548731561023</v>
      </c>
      <c r="AI136" s="74">
        <f t="shared" ref="AI136:AI157" si="116">AG136+AH136</f>
        <v>6.4765622255864734</v>
      </c>
      <c r="AJ136" s="73">
        <f t="shared" ref="AJ136:AJ156" si="117">X136*U136</f>
        <v>5.160000000000001</v>
      </c>
      <c r="AK136" s="71">
        <f t="shared" si="106"/>
        <v>11.405205436098564</v>
      </c>
      <c r="AL136" s="71">
        <f t="shared" si="107"/>
        <v>0.52031484415844897</v>
      </c>
      <c r="AM136" s="71">
        <f t="shared" ref="AM136:AM157" si="118">CHOOSE(V136,(R136+Vd_rect)*Qrr*Fsw,(R136+Vd_rect)*Qrr*Fsw)</f>
        <v>2.3804000000000003</v>
      </c>
      <c r="AN136" s="188">
        <f t="shared" si="108"/>
        <v>0.33610963466440102</v>
      </c>
      <c r="AO136" s="74">
        <f t="shared" ref="AO136:AO157" si="119">AL136+AM136+AN136</f>
        <v>3.2368244788228502</v>
      </c>
      <c r="AP136" s="73">
        <f t="shared" si="109"/>
        <v>0.94898332372080729</v>
      </c>
      <c r="AQ136" s="206">
        <f t="shared" si="110"/>
        <v>1.4551077630385711</v>
      </c>
      <c r="AR136" s="206">
        <f t="shared" si="111"/>
        <v>3.0218089420955812</v>
      </c>
      <c r="AS136" s="71">
        <f t="shared" si="112"/>
        <v>0.16</v>
      </c>
      <c r="AT136" s="74">
        <f t="shared" si="113"/>
        <v>3.6299999999999995E-5</v>
      </c>
      <c r="AU136" s="73">
        <f t="shared" ref="AU136:AU157" si="120">AP136+AO136+AI136+AD136+AS136+AT136+AQ136+AR136</f>
        <v>16.754430796302852</v>
      </c>
      <c r="AV136" s="71">
        <f t="shared" ref="AV136:AV157" si="121">R136*S136</f>
        <v>276.06</v>
      </c>
      <c r="AW136" s="74">
        <f t="shared" ref="AW136:AW156" si="122">(AV136/(AV136+AU136))*100</f>
        <v>94.278140339347502</v>
      </c>
    </row>
    <row r="137" spans="17:49" x14ac:dyDescent="0.25">
      <c r="Q137">
        <v>130</v>
      </c>
      <c r="R137" s="73">
        <f t="shared" si="96"/>
        <v>53.5</v>
      </c>
      <c r="S137" s="71">
        <f t="shared" si="97"/>
        <v>5.2</v>
      </c>
      <c r="T137" s="71">
        <f t="shared" si="98"/>
        <v>11</v>
      </c>
      <c r="U137" s="74">
        <f t="shared" si="99"/>
        <v>25.290909090909089</v>
      </c>
      <c r="V137" s="73">
        <f>IF(Variable_Management!$B$20=3,2,IF((S137*R137/T137)&lt;((T137*(1-(T137/R137)))/(2*Lm*Fsw)),1,2))</f>
        <v>2</v>
      </c>
      <c r="W137" s="71">
        <f t="shared" si="100"/>
        <v>0.79439252336448596</v>
      </c>
      <c r="X137" s="74">
        <f t="shared" si="101"/>
        <v>0.20560747663551404</v>
      </c>
      <c r="Y137" s="73">
        <f t="shared" si="102"/>
        <v>5.8255451713395638</v>
      </c>
      <c r="Z137" s="71">
        <f t="shared" si="77"/>
        <v>28.203681676578871</v>
      </c>
      <c r="AA137" s="71">
        <f t="shared" si="78"/>
        <v>25.346758451984307</v>
      </c>
      <c r="AB137" s="71">
        <v>0</v>
      </c>
      <c r="AC137" s="71">
        <f t="shared" si="103"/>
        <v>1.4776537772534473</v>
      </c>
      <c r="AD137" s="74">
        <f t="shared" si="114"/>
        <v>1.4776537772534473</v>
      </c>
      <c r="AE137" s="73">
        <f t="shared" ref="AE137:AE157" si="123">U137*W137</f>
        <v>20.09090909090909</v>
      </c>
      <c r="AF137" s="71">
        <f t="shared" si="115"/>
        <v>22.591236399863881</v>
      </c>
      <c r="AG137" s="71">
        <f t="shared" si="104"/>
        <v>2.0414558482981389</v>
      </c>
      <c r="AH137" s="71">
        <f t="shared" si="105"/>
        <v>4.5008770039557611</v>
      </c>
      <c r="AI137" s="74">
        <f t="shared" si="116"/>
        <v>6.5423328522538995</v>
      </c>
      <c r="AJ137" s="73">
        <f t="shared" si="117"/>
        <v>5.2</v>
      </c>
      <c r="AK137" s="71">
        <f t="shared" si="106"/>
        <v>11.493224175517639</v>
      </c>
      <c r="AL137" s="71">
        <f t="shared" si="107"/>
        <v>0.52837680779481255</v>
      </c>
      <c r="AM137" s="71">
        <f t="shared" si="118"/>
        <v>2.3804000000000003</v>
      </c>
      <c r="AN137" s="188">
        <f t="shared" si="108"/>
        <v>0.33844418011894645</v>
      </c>
      <c r="AO137" s="74">
        <f t="shared" si="119"/>
        <v>3.2472209879137592</v>
      </c>
      <c r="AP137" s="73">
        <f t="shared" si="109"/>
        <v>0.96368724603485689</v>
      </c>
      <c r="AQ137" s="206">
        <f t="shared" si="110"/>
        <v>1.4776537772534473</v>
      </c>
      <c r="AR137" s="206">
        <f t="shared" si="111"/>
        <v>3.0218089420955812</v>
      </c>
      <c r="AS137" s="71">
        <f t="shared" si="112"/>
        <v>0.16</v>
      </c>
      <c r="AT137" s="74">
        <f t="shared" si="113"/>
        <v>3.6299999999999995E-5</v>
      </c>
      <c r="AU137" s="73">
        <f t="shared" si="120"/>
        <v>16.89039388280499</v>
      </c>
      <c r="AV137" s="71">
        <f t="shared" si="121"/>
        <v>278.2</v>
      </c>
      <c r="AW137" s="74">
        <f t="shared" si="122"/>
        <v>94.27619663908375</v>
      </c>
    </row>
    <row r="138" spans="17:49" x14ac:dyDescent="0.25">
      <c r="Q138">
        <v>131</v>
      </c>
      <c r="R138" s="73">
        <f t="shared" si="96"/>
        <v>53.5</v>
      </c>
      <c r="S138" s="71">
        <f t="shared" si="97"/>
        <v>5.24</v>
      </c>
      <c r="T138" s="71">
        <f t="shared" si="98"/>
        <v>11</v>
      </c>
      <c r="U138" s="74">
        <f t="shared" si="99"/>
        <v>25.485454545454548</v>
      </c>
      <c r="V138" s="73">
        <f>IF(Variable_Management!$B$20=3,2,IF((S138*R138/T138)&lt;((T138*(1-(T138/R138)))/(2*Lm*Fsw)),1,2))</f>
        <v>2</v>
      </c>
      <c r="W138" s="71">
        <f t="shared" si="100"/>
        <v>0.79439252336448596</v>
      </c>
      <c r="X138" s="74">
        <f t="shared" si="101"/>
        <v>0.20560747663551404</v>
      </c>
      <c r="Y138" s="73">
        <f t="shared" si="102"/>
        <v>5.8255451713395638</v>
      </c>
      <c r="Z138" s="71">
        <f t="shared" si="77"/>
        <v>28.39822713112433</v>
      </c>
      <c r="AA138" s="71">
        <f t="shared" si="78"/>
        <v>25.540878504214369</v>
      </c>
      <c r="AB138" s="71">
        <v>0</v>
      </c>
      <c r="AC138" s="71">
        <f t="shared" si="103"/>
        <v>1.5003738919641911</v>
      </c>
      <c r="AD138" s="74">
        <f t="shared" si="114"/>
        <v>1.5003738919641911</v>
      </c>
      <c r="AE138" s="73">
        <f t="shared" si="123"/>
        <v>20.245454545454546</v>
      </c>
      <c r="AF138" s="71">
        <f t="shared" si="115"/>
        <v>22.764253079617653</v>
      </c>
      <c r="AG138" s="71">
        <f t="shared" si="104"/>
        <v>2.072844873091527</v>
      </c>
      <c r="AH138" s="71">
        <f t="shared" si="105"/>
        <v>4.5354991347554208</v>
      </c>
      <c r="AI138" s="74">
        <f t="shared" si="116"/>
        <v>6.6083440078469478</v>
      </c>
      <c r="AJ138" s="73">
        <f t="shared" si="117"/>
        <v>5.2400000000000011</v>
      </c>
      <c r="AK138" s="71">
        <f t="shared" si="106"/>
        <v>11.581245895591618</v>
      </c>
      <c r="AL138" s="71">
        <f t="shared" si="107"/>
        <v>0.53650102597663085</v>
      </c>
      <c r="AM138" s="71">
        <f t="shared" si="118"/>
        <v>2.3804000000000003</v>
      </c>
      <c r="AN138" s="188">
        <f t="shared" si="108"/>
        <v>0.34077872557349198</v>
      </c>
      <c r="AO138" s="74">
        <f t="shared" si="119"/>
        <v>3.257679751550123</v>
      </c>
      <c r="AP138" s="73">
        <f t="shared" si="109"/>
        <v>0.97850471215055945</v>
      </c>
      <c r="AQ138" s="206">
        <f t="shared" si="110"/>
        <v>1.5003738919641911</v>
      </c>
      <c r="AR138" s="206">
        <f t="shared" si="111"/>
        <v>3.0218089420955812</v>
      </c>
      <c r="AS138" s="71">
        <f t="shared" si="112"/>
        <v>0.16</v>
      </c>
      <c r="AT138" s="74">
        <f t="shared" si="113"/>
        <v>3.6299999999999995E-5</v>
      </c>
      <c r="AU138" s="73">
        <f t="shared" si="120"/>
        <v>17.027121497571592</v>
      </c>
      <c r="AV138" s="71">
        <f t="shared" si="121"/>
        <v>280.34000000000003</v>
      </c>
      <c r="AW138" s="74">
        <f t="shared" si="122"/>
        <v>94.274040313595776</v>
      </c>
    </row>
    <row r="139" spans="17:49" x14ac:dyDescent="0.25">
      <c r="Q139">
        <v>132</v>
      </c>
      <c r="R139" s="73">
        <f t="shared" si="96"/>
        <v>53.5</v>
      </c>
      <c r="S139" s="71">
        <f t="shared" si="97"/>
        <v>5.28</v>
      </c>
      <c r="T139" s="71">
        <f t="shared" si="98"/>
        <v>11</v>
      </c>
      <c r="U139" s="74">
        <f t="shared" si="99"/>
        <v>25.680000000000003</v>
      </c>
      <c r="V139" s="73">
        <f>IF(Variable_Management!$B$20=3,2,IF((S139*R139/T139)&lt;((T139*(1-(T139/R139)))/(2*Lm*Fsw)),1,2))</f>
        <v>2</v>
      </c>
      <c r="W139" s="71">
        <f t="shared" si="100"/>
        <v>0.79439252336448596</v>
      </c>
      <c r="X139" s="74">
        <f t="shared" si="101"/>
        <v>0.20560747663551404</v>
      </c>
      <c r="Y139" s="73">
        <f t="shared" si="102"/>
        <v>5.8255451713395638</v>
      </c>
      <c r="Z139" s="71">
        <f t="shared" si="77"/>
        <v>28.592772585669785</v>
      </c>
      <c r="AA139" s="71">
        <f t="shared" si="78"/>
        <v>25.735004981126579</v>
      </c>
      <c r="AB139" s="71">
        <v>0</v>
      </c>
      <c r="AC139" s="71">
        <f t="shared" si="103"/>
        <v>1.5232681071708025</v>
      </c>
      <c r="AD139" s="74">
        <f t="shared" si="114"/>
        <v>1.5232681071708025</v>
      </c>
      <c r="AE139" s="73">
        <f t="shared" si="123"/>
        <v>20.400000000000002</v>
      </c>
      <c r="AF139" s="71">
        <f t="shared" si="115"/>
        <v>22.937275485607135</v>
      </c>
      <c r="AG139" s="71">
        <f t="shared" si="104"/>
        <v>2.104474426810536</v>
      </c>
      <c r="AH139" s="71">
        <f t="shared" si="105"/>
        <v>4.5701212655550805</v>
      </c>
      <c r="AI139" s="74">
        <f t="shared" si="116"/>
        <v>6.6745956923656165</v>
      </c>
      <c r="AJ139" s="73">
        <f t="shared" si="117"/>
        <v>5.2800000000000011</v>
      </c>
      <c r="AK139" s="71">
        <f t="shared" si="106"/>
        <v>11.669270528870941</v>
      </c>
      <c r="AL139" s="71">
        <f t="shared" si="107"/>
        <v>0.54468749870390354</v>
      </c>
      <c r="AM139" s="71">
        <f t="shared" si="118"/>
        <v>2.3804000000000003</v>
      </c>
      <c r="AN139" s="188">
        <f t="shared" si="108"/>
        <v>0.3431132710280374</v>
      </c>
      <c r="AO139" s="74">
        <f t="shared" si="119"/>
        <v>3.2682007697319415</v>
      </c>
      <c r="AP139" s="73">
        <f t="shared" si="109"/>
        <v>0.99343572206791475</v>
      </c>
      <c r="AQ139" s="206">
        <f t="shared" si="110"/>
        <v>1.5232681071708025</v>
      </c>
      <c r="AR139" s="206">
        <f t="shared" si="111"/>
        <v>3.0218089420955812</v>
      </c>
      <c r="AS139" s="71">
        <f t="shared" si="112"/>
        <v>0.16</v>
      </c>
      <c r="AT139" s="74">
        <f t="shared" si="113"/>
        <v>3.6299999999999995E-5</v>
      </c>
      <c r="AU139" s="73">
        <f t="shared" si="120"/>
        <v>17.164613640602656</v>
      </c>
      <c r="AV139" s="71">
        <f t="shared" si="121"/>
        <v>282.48</v>
      </c>
      <c r="AW139" s="74">
        <f t="shared" si="122"/>
        <v>94.271676226027495</v>
      </c>
    </row>
    <row r="140" spans="17:49" x14ac:dyDescent="0.25">
      <c r="Q140">
        <v>133</v>
      </c>
      <c r="R140" s="73">
        <f t="shared" si="96"/>
        <v>53.5</v>
      </c>
      <c r="S140" s="71">
        <f t="shared" si="97"/>
        <v>5.32</v>
      </c>
      <c r="T140" s="71">
        <f t="shared" si="98"/>
        <v>11</v>
      </c>
      <c r="U140" s="74">
        <f t="shared" si="99"/>
        <v>25.874545454545455</v>
      </c>
      <c r="V140" s="73">
        <f>IF(Variable_Management!$B$20=3,2,IF((S140*R140/T140)&lt;((T140*(1-(T140/R140)))/(2*Lm*Fsw)),1,2))</f>
        <v>2</v>
      </c>
      <c r="W140" s="71">
        <f t="shared" si="100"/>
        <v>0.79439252336448596</v>
      </c>
      <c r="X140" s="74">
        <f t="shared" si="101"/>
        <v>0.20560747663551404</v>
      </c>
      <c r="Y140" s="73">
        <f t="shared" si="102"/>
        <v>5.8255451713395638</v>
      </c>
      <c r="Z140" s="71">
        <f t="shared" si="77"/>
        <v>28.787318040215236</v>
      </c>
      <c r="AA140" s="71">
        <f t="shared" si="78"/>
        <v>25.929137738419854</v>
      </c>
      <c r="AB140" s="71">
        <v>0</v>
      </c>
      <c r="AC140" s="71">
        <f t="shared" si="103"/>
        <v>1.5463364228732819</v>
      </c>
      <c r="AD140" s="74">
        <f t="shared" si="114"/>
        <v>1.5463364228732819</v>
      </c>
      <c r="AE140" s="73">
        <f t="shared" si="123"/>
        <v>20.554545454545455</v>
      </c>
      <c r="AF140" s="71">
        <f t="shared" si="115"/>
        <v>23.110303489218634</v>
      </c>
      <c r="AG140" s="71">
        <f t="shared" si="104"/>
        <v>2.1363445094551641</v>
      </c>
      <c r="AH140" s="71">
        <f t="shared" si="105"/>
        <v>4.6047433963547402</v>
      </c>
      <c r="AI140" s="74">
        <f t="shared" si="116"/>
        <v>6.7410879058099038</v>
      </c>
      <c r="AJ140" s="73">
        <f t="shared" si="117"/>
        <v>5.32</v>
      </c>
      <c r="AK140" s="71">
        <f t="shared" si="106"/>
        <v>11.757298009923781</v>
      </c>
      <c r="AL140" s="71">
        <f t="shared" si="107"/>
        <v>0.55293622597663084</v>
      </c>
      <c r="AM140" s="71">
        <f t="shared" si="118"/>
        <v>2.3804000000000003</v>
      </c>
      <c r="AN140" s="188">
        <f t="shared" si="108"/>
        <v>0.34544781648258283</v>
      </c>
      <c r="AO140" s="74">
        <f t="shared" si="119"/>
        <v>3.2787840424592138</v>
      </c>
      <c r="AP140" s="73">
        <f t="shared" si="109"/>
        <v>1.0084802757869231</v>
      </c>
      <c r="AQ140" s="206">
        <f t="shared" si="110"/>
        <v>1.5463364228732819</v>
      </c>
      <c r="AR140" s="206">
        <f t="shared" si="111"/>
        <v>3.0218089420955812</v>
      </c>
      <c r="AS140" s="71">
        <f t="shared" si="112"/>
        <v>0.16</v>
      </c>
      <c r="AT140" s="74">
        <f t="shared" si="113"/>
        <v>3.6299999999999995E-5</v>
      </c>
      <c r="AU140" s="73">
        <f t="shared" si="120"/>
        <v>17.302870311898186</v>
      </c>
      <c r="AV140" s="71">
        <f t="shared" si="121"/>
        <v>284.62</v>
      </c>
      <c r="AW140" s="74">
        <f t="shared" si="122"/>
        <v>94.269109095967579</v>
      </c>
    </row>
    <row r="141" spans="17:49" x14ac:dyDescent="0.25">
      <c r="Q141">
        <v>134</v>
      </c>
      <c r="R141" s="73">
        <f t="shared" si="96"/>
        <v>53.5</v>
      </c>
      <c r="S141" s="71">
        <f t="shared" si="97"/>
        <v>5.36</v>
      </c>
      <c r="T141" s="71">
        <f t="shared" si="98"/>
        <v>11</v>
      </c>
      <c r="U141" s="74">
        <f t="shared" si="99"/>
        <v>26.069090909090907</v>
      </c>
      <c r="V141" s="73">
        <f>IF(Variable_Management!$B$20=3,2,IF((S141*R141/T141)&lt;((T141*(1-(T141/R141)))/(2*Lm*Fsw)),1,2))</f>
        <v>2</v>
      </c>
      <c r="W141" s="71">
        <f t="shared" si="100"/>
        <v>0.79439252336448596</v>
      </c>
      <c r="X141" s="74">
        <f t="shared" si="101"/>
        <v>0.20560747663551404</v>
      </c>
      <c r="Y141" s="73">
        <f t="shared" si="102"/>
        <v>5.8255451713395638</v>
      </c>
      <c r="Z141" s="71">
        <f t="shared" si="77"/>
        <v>28.981863494760688</v>
      </c>
      <c r="AA141" s="71">
        <f t="shared" si="78"/>
        <v>26.123276636077946</v>
      </c>
      <c r="AB141" s="71">
        <v>0</v>
      </c>
      <c r="AC141" s="71">
        <f t="shared" si="103"/>
        <v>1.5695788390716285</v>
      </c>
      <c r="AD141" s="74">
        <f t="shared" si="114"/>
        <v>1.5695788390716285</v>
      </c>
      <c r="AE141" s="73">
        <f t="shared" si="123"/>
        <v>20.709090909090907</v>
      </c>
      <c r="AF141" s="71">
        <f t="shared" si="115"/>
        <v>23.283336965657497</v>
      </c>
      <c r="AG141" s="71">
        <f t="shared" si="104"/>
        <v>2.1684551210254117</v>
      </c>
      <c r="AH141" s="71">
        <f t="shared" si="105"/>
        <v>4.6393655271543999</v>
      </c>
      <c r="AI141" s="74">
        <f t="shared" si="116"/>
        <v>6.8078206481798116</v>
      </c>
      <c r="AJ141" s="73">
        <f t="shared" si="117"/>
        <v>5.36</v>
      </c>
      <c r="AK141" s="71">
        <f t="shared" si="106"/>
        <v>11.845328275261227</v>
      </c>
      <c r="AL141" s="71">
        <f t="shared" si="107"/>
        <v>0.56124720779481252</v>
      </c>
      <c r="AM141" s="71">
        <f t="shared" si="118"/>
        <v>2.3804000000000003</v>
      </c>
      <c r="AN141" s="188">
        <f t="shared" si="108"/>
        <v>0.34778236193712825</v>
      </c>
      <c r="AO141" s="74">
        <f t="shared" si="119"/>
        <v>3.2894295697319413</v>
      </c>
      <c r="AP141" s="73">
        <f t="shared" si="109"/>
        <v>1.0236383733075838</v>
      </c>
      <c r="AQ141" s="206">
        <f t="shared" si="110"/>
        <v>1.5695788390716285</v>
      </c>
      <c r="AR141" s="206">
        <f t="shared" si="111"/>
        <v>3.0218089420955812</v>
      </c>
      <c r="AS141" s="71">
        <f t="shared" si="112"/>
        <v>0.16</v>
      </c>
      <c r="AT141" s="74">
        <f t="shared" si="113"/>
        <v>3.6299999999999995E-5</v>
      </c>
      <c r="AU141" s="73">
        <f t="shared" si="120"/>
        <v>17.441891511458174</v>
      </c>
      <c r="AV141" s="71">
        <f t="shared" si="121"/>
        <v>286.76</v>
      </c>
      <c r="AW141" s="74">
        <f t="shared" si="122"/>
        <v>94.266343504704608</v>
      </c>
    </row>
    <row r="142" spans="17:49" x14ac:dyDescent="0.25">
      <c r="Q142">
        <v>135</v>
      </c>
      <c r="R142" s="73">
        <f t="shared" si="96"/>
        <v>53.5</v>
      </c>
      <c r="S142" s="71">
        <f t="shared" si="97"/>
        <v>5.4</v>
      </c>
      <c r="T142" s="71">
        <f t="shared" si="98"/>
        <v>11</v>
      </c>
      <c r="U142" s="74">
        <f t="shared" si="99"/>
        <v>26.263636363636365</v>
      </c>
      <c r="V142" s="73">
        <f>IF(Variable_Management!$B$20=3,2,IF((S142*R142/T142)&lt;((T142*(1-(T142/R142)))/(2*Lm*Fsw)),1,2))</f>
        <v>2</v>
      </c>
      <c r="W142" s="71">
        <f t="shared" si="100"/>
        <v>0.79439252336448596</v>
      </c>
      <c r="X142" s="74">
        <f t="shared" si="101"/>
        <v>0.20560747663551404</v>
      </c>
      <c r="Y142" s="73">
        <f t="shared" si="102"/>
        <v>5.8255451713395638</v>
      </c>
      <c r="Z142" s="71">
        <f t="shared" si="77"/>
        <v>29.176408949306147</v>
      </c>
      <c r="AA142" s="71">
        <f t="shared" si="78"/>
        <v>26.317421538211761</v>
      </c>
      <c r="AB142" s="71">
        <v>0</v>
      </c>
      <c r="AC142" s="71">
        <f t="shared" si="103"/>
        <v>1.5929953557658443</v>
      </c>
      <c r="AD142" s="74">
        <f t="shared" si="114"/>
        <v>1.5929953557658443</v>
      </c>
      <c r="AE142" s="73">
        <f t="shared" si="123"/>
        <v>20.863636363636363</v>
      </c>
      <c r="AF142" s="71">
        <f t="shared" si="115"/>
        <v>23.456375793807531</v>
      </c>
      <c r="AG142" s="71">
        <f t="shared" si="104"/>
        <v>2.2008062615212793</v>
      </c>
      <c r="AH142" s="71">
        <f t="shared" si="105"/>
        <v>4.6739876579540596</v>
      </c>
      <c r="AI142" s="74">
        <f t="shared" si="116"/>
        <v>6.8747939194753389</v>
      </c>
      <c r="AJ142" s="73">
        <f t="shared" si="117"/>
        <v>5.4000000000000012</v>
      </c>
      <c r="AK142" s="71">
        <f t="shared" si="106"/>
        <v>11.933361263265779</v>
      </c>
      <c r="AL142" s="71">
        <f t="shared" si="107"/>
        <v>0.56962044415844892</v>
      </c>
      <c r="AM142" s="71">
        <f t="shared" si="118"/>
        <v>2.3804000000000003</v>
      </c>
      <c r="AN142" s="188">
        <f t="shared" si="108"/>
        <v>0.35011690739167378</v>
      </c>
      <c r="AO142" s="74">
        <f t="shared" si="119"/>
        <v>3.3001373515501227</v>
      </c>
      <c r="AP142" s="73">
        <f t="shared" si="109"/>
        <v>1.0389100146298986</v>
      </c>
      <c r="AQ142" s="206">
        <f t="shared" si="110"/>
        <v>1.5929953557658443</v>
      </c>
      <c r="AR142" s="206">
        <f t="shared" si="111"/>
        <v>3.0218089420955812</v>
      </c>
      <c r="AS142" s="71">
        <f t="shared" si="112"/>
        <v>0.16</v>
      </c>
      <c r="AT142" s="74">
        <f t="shared" si="113"/>
        <v>3.6299999999999995E-5</v>
      </c>
      <c r="AU142" s="73">
        <f t="shared" si="120"/>
        <v>17.581677239282627</v>
      </c>
      <c r="AV142" s="71">
        <f t="shared" si="121"/>
        <v>288.90000000000003</v>
      </c>
      <c r="AW142" s="74">
        <f t="shared" si="122"/>
        <v>94.263383900253231</v>
      </c>
    </row>
    <row r="143" spans="17:49" x14ac:dyDescent="0.25">
      <c r="Q143">
        <v>136</v>
      </c>
      <c r="R143" s="73">
        <f t="shared" si="96"/>
        <v>53.5</v>
      </c>
      <c r="S143" s="71">
        <f t="shared" si="97"/>
        <v>5.44</v>
      </c>
      <c r="T143" s="71">
        <f t="shared" si="98"/>
        <v>11</v>
      </c>
      <c r="U143" s="74">
        <f t="shared" si="99"/>
        <v>26.458181818181821</v>
      </c>
      <c r="V143" s="73">
        <f>IF(Variable_Management!$B$20=3,2,IF((S143*R143/T143)&lt;((T143*(1-(T143/R143)))/(2*Lm*Fsw)),1,2))</f>
        <v>2</v>
      </c>
      <c r="W143" s="71">
        <f t="shared" si="100"/>
        <v>0.79439252336448596</v>
      </c>
      <c r="X143" s="74">
        <f t="shared" si="101"/>
        <v>0.20560747663551404</v>
      </c>
      <c r="Y143" s="73">
        <f t="shared" si="102"/>
        <v>5.8255451713395638</v>
      </c>
      <c r="Z143" s="71">
        <f t="shared" si="77"/>
        <v>29.370954403851602</v>
      </c>
      <c r="AA143" s="71">
        <f t="shared" si="78"/>
        <v>26.511572312908505</v>
      </c>
      <c r="AB143" s="71">
        <v>0</v>
      </c>
      <c r="AC143" s="71">
        <f t="shared" si="103"/>
        <v>1.6165859729559269</v>
      </c>
      <c r="AD143" s="74">
        <f t="shared" si="114"/>
        <v>1.6165859729559269</v>
      </c>
      <c r="AE143" s="73">
        <f t="shared" si="123"/>
        <v>21.018181818181819</v>
      </c>
      <c r="AF143" s="71">
        <f t="shared" si="115"/>
        <v>23.62941985609659</v>
      </c>
      <c r="AG143" s="71">
        <f t="shared" si="104"/>
        <v>2.2333979309427674</v>
      </c>
      <c r="AH143" s="71">
        <f t="shared" si="105"/>
        <v>4.7086097887537202</v>
      </c>
      <c r="AI143" s="74">
        <f t="shared" si="116"/>
        <v>6.9420077196964876</v>
      </c>
      <c r="AJ143" s="73">
        <f t="shared" si="117"/>
        <v>5.4400000000000013</v>
      </c>
      <c r="AK143" s="71">
        <f t="shared" si="106"/>
        <v>12.021396914122958</v>
      </c>
      <c r="AL143" s="71">
        <f t="shared" si="107"/>
        <v>0.57805593506753983</v>
      </c>
      <c r="AM143" s="71">
        <f t="shared" si="118"/>
        <v>2.3804000000000003</v>
      </c>
      <c r="AN143" s="188">
        <f t="shared" si="108"/>
        <v>0.35245145284621926</v>
      </c>
      <c r="AO143" s="74">
        <f t="shared" si="119"/>
        <v>3.3109073879137592</v>
      </c>
      <c r="AP143" s="73">
        <f t="shared" si="109"/>
        <v>1.0542951997538654</v>
      </c>
      <c r="AQ143" s="206">
        <f t="shared" si="110"/>
        <v>1.6165859729559269</v>
      </c>
      <c r="AR143" s="206">
        <f t="shared" si="111"/>
        <v>3.0218089420955812</v>
      </c>
      <c r="AS143" s="71">
        <f t="shared" si="112"/>
        <v>0.16</v>
      </c>
      <c r="AT143" s="74">
        <f t="shared" si="113"/>
        <v>3.6299999999999995E-5</v>
      </c>
      <c r="AU143" s="73">
        <f t="shared" si="120"/>
        <v>17.722227495371545</v>
      </c>
      <c r="AV143" s="71">
        <f t="shared" si="121"/>
        <v>291.04000000000002</v>
      </c>
      <c r="AW143" s="74">
        <f t="shared" si="122"/>
        <v>94.260234602162527</v>
      </c>
    </row>
    <row r="144" spans="17:49" x14ac:dyDescent="0.25">
      <c r="Q144">
        <v>137</v>
      </c>
      <c r="R144" s="73">
        <f t="shared" si="96"/>
        <v>53.5</v>
      </c>
      <c r="S144" s="71">
        <f t="shared" si="97"/>
        <v>5.48</v>
      </c>
      <c r="T144" s="71">
        <f t="shared" si="98"/>
        <v>11</v>
      </c>
      <c r="U144" s="74">
        <f t="shared" si="99"/>
        <v>26.652727272727272</v>
      </c>
      <c r="V144" s="73">
        <f>IF(Variable_Management!$B$20=3,2,IF((S144*R144/T144)&lt;((T144*(1-(T144/R144)))/(2*Lm*Fsw)),1,2))</f>
        <v>2</v>
      </c>
      <c r="W144" s="71">
        <f t="shared" si="100"/>
        <v>0.79439252336448596</v>
      </c>
      <c r="X144" s="74">
        <f t="shared" si="101"/>
        <v>0.20560747663551404</v>
      </c>
      <c r="Y144" s="73">
        <f t="shared" si="102"/>
        <v>5.8255451713395638</v>
      </c>
      <c r="Z144" s="71">
        <f t="shared" ref="Z144:Z157" si="124">CHOOSE(V144,Y144,U144+(0.5*Y144))</f>
        <v>29.565499858397054</v>
      </c>
      <c r="AA144" s="71">
        <f t="shared" ref="AA144:AA157" si="125">CHOOSE(V144,Z144*SQRT((W144+X144)/3),SQRT((U144^2)+((Y144^2)/12)))</f>
        <v>26.705728832087505</v>
      </c>
      <c r="AB144" s="71">
        <v>0</v>
      </c>
      <c r="AC144" s="71">
        <f t="shared" si="103"/>
        <v>1.6403506906418768</v>
      </c>
      <c r="AD144" s="74">
        <f t="shared" si="114"/>
        <v>1.6403506906418768</v>
      </c>
      <c r="AE144" s="73">
        <f t="shared" si="123"/>
        <v>21.172727272727272</v>
      </c>
      <c r="AF144" s="71">
        <f t="shared" si="115"/>
        <v>23.802469038368027</v>
      </c>
      <c r="AG144" s="71">
        <f t="shared" si="104"/>
        <v>2.2662301292898741</v>
      </c>
      <c r="AH144" s="71">
        <f t="shared" si="105"/>
        <v>4.7432319195533799</v>
      </c>
      <c r="AI144" s="74">
        <f t="shared" si="116"/>
        <v>7.009462048843254</v>
      </c>
      <c r="AJ144" s="73">
        <f t="shared" si="117"/>
        <v>5.48</v>
      </c>
      <c r="AK144" s="71">
        <f t="shared" si="106"/>
        <v>12.109435169755908</v>
      </c>
      <c r="AL144" s="71">
        <f t="shared" si="107"/>
        <v>0.58655368052208523</v>
      </c>
      <c r="AM144" s="71">
        <f t="shared" si="118"/>
        <v>2.3804000000000003</v>
      </c>
      <c r="AN144" s="188">
        <f t="shared" si="108"/>
        <v>0.35478599830076463</v>
      </c>
      <c r="AO144" s="74">
        <f t="shared" si="119"/>
        <v>3.3217396788228504</v>
      </c>
      <c r="AP144" s="73">
        <f t="shared" si="109"/>
        <v>1.0697939286794849</v>
      </c>
      <c r="AQ144" s="206">
        <f t="shared" si="110"/>
        <v>1.6403506906418768</v>
      </c>
      <c r="AR144" s="206">
        <f t="shared" si="111"/>
        <v>3.0218089420955812</v>
      </c>
      <c r="AS144" s="71">
        <f t="shared" si="112"/>
        <v>0.16</v>
      </c>
      <c r="AT144" s="74">
        <f t="shared" si="113"/>
        <v>3.6299999999999995E-5</v>
      </c>
      <c r="AU144" s="73">
        <f t="shared" si="120"/>
        <v>17.863542279724925</v>
      </c>
      <c r="AV144" s="71">
        <f t="shared" si="121"/>
        <v>293.18</v>
      </c>
      <c r="AW144" s="74">
        <f t="shared" si="122"/>
        <v>94.256899806117815</v>
      </c>
    </row>
    <row r="145" spans="17:49" x14ac:dyDescent="0.25">
      <c r="Q145">
        <v>138</v>
      </c>
      <c r="R145" s="73">
        <f t="shared" si="96"/>
        <v>53.5</v>
      </c>
      <c r="S145" s="71">
        <f t="shared" si="97"/>
        <v>5.5200000000000005</v>
      </c>
      <c r="T145" s="71">
        <f t="shared" si="98"/>
        <v>11</v>
      </c>
      <c r="U145" s="74">
        <f t="shared" si="99"/>
        <v>26.847272727272731</v>
      </c>
      <c r="V145" s="73">
        <f>IF(Variable_Management!$B$20=3,2,IF((S145*R145/T145)&lt;((T145*(1-(T145/R145)))/(2*Lm*Fsw)),1,2))</f>
        <v>2</v>
      </c>
      <c r="W145" s="71">
        <f t="shared" si="100"/>
        <v>0.79439252336448596</v>
      </c>
      <c r="X145" s="74">
        <f t="shared" si="101"/>
        <v>0.20560747663551404</v>
      </c>
      <c r="Y145" s="73">
        <f t="shared" si="102"/>
        <v>5.8255451713395638</v>
      </c>
      <c r="Z145" s="71">
        <f t="shared" si="124"/>
        <v>29.760045312942513</v>
      </c>
      <c r="AA145" s="71">
        <f t="shared" si="125"/>
        <v>26.899890971362172</v>
      </c>
      <c r="AB145" s="71">
        <v>0</v>
      </c>
      <c r="AC145" s="71">
        <f t="shared" si="103"/>
        <v>1.664289508823696</v>
      </c>
      <c r="AD145" s="74">
        <f t="shared" si="114"/>
        <v>1.664289508823696</v>
      </c>
      <c r="AE145" s="73">
        <f t="shared" si="123"/>
        <v>21.327272727272728</v>
      </c>
      <c r="AF145" s="71">
        <f t="shared" si="115"/>
        <v>23.975523229757687</v>
      </c>
      <c r="AG145" s="71">
        <f t="shared" si="104"/>
        <v>2.2993028565626017</v>
      </c>
      <c r="AH145" s="71">
        <f t="shared" si="105"/>
        <v>4.7778540503530396</v>
      </c>
      <c r="AI145" s="74">
        <f t="shared" si="116"/>
        <v>7.0771569069156417</v>
      </c>
      <c r="AJ145" s="73">
        <f t="shared" si="117"/>
        <v>5.5200000000000014</v>
      </c>
      <c r="AK145" s="71">
        <f t="shared" si="106"/>
        <v>12.197475973762824</v>
      </c>
      <c r="AL145" s="71">
        <f t="shared" si="107"/>
        <v>0.59511368052208535</v>
      </c>
      <c r="AM145" s="71">
        <f t="shared" si="118"/>
        <v>2.3804000000000003</v>
      </c>
      <c r="AN145" s="188">
        <f t="shared" si="108"/>
        <v>0.35712054375531016</v>
      </c>
      <c r="AO145" s="74">
        <f t="shared" si="119"/>
        <v>3.3326342242773959</v>
      </c>
      <c r="AP145" s="73">
        <f t="shared" si="109"/>
        <v>1.0854062014067583</v>
      </c>
      <c r="AQ145" s="206">
        <f t="shared" si="110"/>
        <v>1.664289508823696</v>
      </c>
      <c r="AR145" s="206">
        <f t="shared" si="111"/>
        <v>3.0218089420955812</v>
      </c>
      <c r="AS145" s="71">
        <f t="shared" si="112"/>
        <v>0.16</v>
      </c>
      <c r="AT145" s="74">
        <f t="shared" si="113"/>
        <v>3.6299999999999995E-5</v>
      </c>
      <c r="AU145" s="73">
        <f t="shared" si="120"/>
        <v>18.00562159234277</v>
      </c>
      <c r="AV145" s="71">
        <f t="shared" si="121"/>
        <v>295.32000000000005</v>
      </c>
      <c r="AW145" s="74">
        <f t="shared" si="122"/>
        <v>94.253383588345912</v>
      </c>
    </row>
    <row r="146" spans="17:49" x14ac:dyDescent="0.25">
      <c r="Q146">
        <v>139</v>
      </c>
      <c r="R146" s="73">
        <f t="shared" si="96"/>
        <v>53.5</v>
      </c>
      <c r="S146" s="71">
        <f t="shared" si="97"/>
        <v>5.5600000000000005</v>
      </c>
      <c r="T146" s="71">
        <f t="shared" si="98"/>
        <v>11</v>
      </c>
      <c r="U146" s="74">
        <f t="shared" si="99"/>
        <v>27.041818181818186</v>
      </c>
      <c r="V146" s="73">
        <f>IF(Variable_Management!$B$20=3,2,IF((S146*R146/T146)&lt;((T146*(1-(T146/R146)))/(2*Lm*Fsw)),1,2))</f>
        <v>2</v>
      </c>
      <c r="W146" s="71">
        <f t="shared" si="100"/>
        <v>0.79439252336448596</v>
      </c>
      <c r="X146" s="74">
        <f t="shared" si="101"/>
        <v>0.20560747663551404</v>
      </c>
      <c r="Y146" s="73">
        <f t="shared" si="102"/>
        <v>5.8255451713395638</v>
      </c>
      <c r="Z146" s="71">
        <f t="shared" si="124"/>
        <v>29.954590767487968</v>
      </c>
      <c r="AA146" s="71">
        <f t="shared" si="125"/>
        <v>27.094058609907865</v>
      </c>
      <c r="AB146" s="71">
        <v>0</v>
      </c>
      <c r="AC146" s="71">
        <f t="shared" si="103"/>
        <v>1.6884024275013818</v>
      </c>
      <c r="AD146" s="74">
        <f t="shared" si="114"/>
        <v>1.6884024275013818</v>
      </c>
      <c r="AE146" s="73">
        <f t="shared" si="123"/>
        <v>21.481818181818184</v>
      </c>
      <c r="AF146" s="71">
        <f t="shared" si="115"/>
        <v>24.14858232257615</v>
      </c>
      <c r="AG146" s="71">
        <f t="shared" si="104"/>
        <v>2.3326161127609493</v>
      </c>
      <c r="AH146" s="71">
        <f t="shared" si="105"/>
        <v>4.8124761811526993</v>
      </c>
      <c r="AI146" s="74">
        <f t="shared" si="116"/>
        <v>7.145092293913649</v>
      </c>
      <c r="AJ146" s="73">
        <f t="shared" si="117"/>
        <v>5.5600000000000014</v>
      </c>
      <c r="AK146" s="71">
        <f t="shared" si="106"/>
        <v>12.28551927135703</v>
      </c>
      <c r="AL146" s="71">
        <f t="shared" si="107"/>
        <v>0.60373593506753997</v>
      </c>
      <c r="AM146" s="71">
        <f t="shared" si="118"/>
        <v>2.3804000000000003</v>
      </c>
      <c r="AN146" s="188">
        <f t="shared" si="108"/>
        <v>0.35945508920985564</v>
      </c>
      <c r="AO146" s="74">
        <f t="shared" si="119"/>
        <v>3.3435910242773956</v>
      </c>
      <c r="AP146" s="73">
        <f t="shared" si="109"/>
        <v>1.1011320179356838</v>
      </c>
      <c r="AQ146" s="206">
        <f t="shared" si="110"/>
        <v>1.6884024275013818</v>
      </c>
      <c r="AR146" s="206">
        <f t="shared" si="111"/>
        <v>3.0218089420955812</v>
      </c>
      <c r="AS146" s="71">
        <f t="shared" si="112"/>
        <v>0.16</v>
      </c>
      <c r="AT146" s="74">
        <f t="shared" si="113"/>
        <v>3.6299999999999995E-5</v>
      </c>
      <c r="AU146" s="73">
        <f t="shared" si="120"/>
        <v>18.148465433225073</v>
      </c>
      <c r="AV146" s="71">
        <f t="shared" si="121"/>
        <v>297.46000000000004</v>
      </c>
      <c r="AW146" s="74">
        <f t="shared" si="122"/>
        <v>94.249689909833918</v>
      </c>
    </row>
    <row r="147" spans="17:49" x14ac:dyDescent="0.25">
      <c r="Q147">
        <v>140</v>
      </c>
      <c r="R147" s="73">
        <f t="shared" si="96"/>
        <v>53.5</v>
      </c>
      <c r="S147" s="71">
        <f t="shared" si="97"/>
        <v>5.6000000000000005</v>
      </c>
      <c r="T147" s="71">
        <f t="shared" si="98"/>
        <v>11</v>
      </c>
      <c r="U147" s="74">
        <f t="shared" si="99"/>
        <v>27.236363636363638</v>
      </c>
      <c r="V147" s="73">
        <f>IF(Variable_Management!$B$20=3,2,IF((S147*R147/T147)&lt;((T147*(1-(T147/R147)))/(2*Lm*Fsw)),1,2))</f>
        <v>2</v>
      </c>
      <c r="W147" s="71">
        <f t="shared" si="100"/>
        <v>0.79439252336448596</v>
      </c>
      <c r="X147" s="74">
        <f t="shared" si="101"/>
        <v>0.20560747663551404</v>
      </c>
      <c r="Y147" s="73">
        <f t="shared" si="102"/>
        <v>5.8255451713395638</v>
      </c>
      <c r="Z147" s="71">
        <f t="shared" si="124"/>
        <v>30.14913622203342</v>
      </c>
      <c r="AA147" s="71">
        <f t="shared" si="125"/>
        <v>27.288231630335471</v>
      </c>
      <c r="AB147" s="71">
        <v>0</v>
      </c>
      <c r="AC147" s="71">
        <f t="shared" si="103"/>
        <v>1.7126894466749349</v>
      </c>
      <c r="AD147" s="74">
        <f t="shared" si="114"/>
        <v>1.7126894466749349</v>
      </c>
      <c r="AE147" s="73">
        <f t="shared" si="123"/>
        <v>21.636363636363637</v>
      </c>
      <c r="AF147" s="71">
        <f t="shared" si="115"/>
        <v>24.321646212196022</v>
      </c>
      <c r="AG147" s="71">
        <f t="shared" si="104"/>
        <v>2.3661698978849164</v>
      </c>
      <c r="AH147" s="71">
        <f t="shared" si="105"/>
        <v>4.847098311952359</v>
      </c>
      <c r="AI147" s="74">
        <f t="shared" si="116"/>
        <v>7.2132682098372758</v>
      </c>
      <c r="AJ147" s="73">
        <f t="shared" si="117"/>
        <v>5.6000000000000014</v>
      </c>
      <c r="AK147" s="71">
        <f t="shared" si="106"/>
        <v>12.373565009309655</v>
      </c>
      <c r="AL147" s="71">
        <f t="shared" si="107"/>
        <v>0.61242044415844898</v>
      </c>
      <c r="AM147" s="71">
        <f t="shared" si="118"/>
        <v>2.3804000000000003</v>
      </c>
      <c r="AN147" s="188">
        <f t="shared" si="108"/>
        <v>0.36178963466440106</v>
      </c>
      <c r="AO147" s="74">
        <f t="shared" si="119"/>
        <v>3.3546100788228501</v>
      </c>
      <c r="AP147" s="73">
        <f t="shared" si="109"/>
        <v>1.116971378266262</v>
      </c>
      <c r="AQ147" s="206">
        <f t="shared" si="110"/>
        <v>1.7126894466749349</v>
      </c>
      <c r="AR147" s="206">
        <f t="shared" si="111"/>
        <v>3.0218089420955812</v>
      </c>
      <c r="AS147" s="71">
        <f t="shared" si="112"/>
        <v>0.16</v>
      </c>
      <c r="AT147" s="74">
        <f t="shared" si="113"/>
        <v>3.6299999999999995E-5</v>
      </c>
      <c r="AU147" s="73">
        <f t="shared" si="120"/>
        <v>18.292073802371839</v>
      </c>
      <c r="AV147" s="71">
        <f t="shared" si="121"/>
        <v>299.60000000000002</v>
      </c>
      <c r="AW147" s="74">
        <f t="shared" si="122"/>
        <v>94.245822620370305</v>
      </c>
    </row>
    <row r="148" spans="17:49" x14ac:dyDescent="0.25">
      <c r="Q148">
        <v>141</v>
      </c>
      <c r="R148" s="73">
        <f t="shared" si="96"/>
        <v>53.5</v>
      </c>
      <c r="S148" s="71">
        <f t="shared" si="97"/>
        <v>5.64</v>
      </c>
      <c r="T148" s="71">
        <f t="shared" si="98"/>
        <v>11</v>
      </c>
      <c r="U148" s="74">
        <f t="shared" si="99"/>
        <v>27.430909090909093</v>
      </c>
      <c r="V148" s="73">
        <f>IF(Variable_Management!$B$20=3,2,IF((S148*R148/T148)&lt;((T148*(1-(T148/R148)))/(2*Lm*Fsw)),1,2))</f>
        <v>2</v>
      </c>
      <c r="W148" s="71">
        <f t="shared" si="100"/>
        <v>0.79439252336448596</v>
      </c>
      <c r="X148" s="74">
        <f t="shared" si="101"/>
        <v>0.20560747663551404</v>
      </c>
      <c r="Y148" s="73">
        <f t="shared" si="102"/>
        <v>5.8255451713395638</v>
      </c>
      <c r="Z148" s="71">
        <f t="shared" si="124"/>
        <v>30.343681676578875</v>
      </c>
      <c r="AA148" s="71">
        <f t="shared" si="125"/>
        <v>27.482409918570259</v>
      </c>
      <c r="AB148" s="71">
        <v>0</v>
      </c>
      <c r="AC148" s="71">
        <f t="shared" si="103"/>
        <v>1.7371505663443567</v>
      </c>
      <c r="AD148" s="74">
        <f t="shared" si="114"/>
        <v>1.7371505663443567</v>
      </c>
      <c r="AE148" s="73">
        <f t="shared" si="123"/>
        <v>21.790909090909093</v>
      </c>
      <c r="AF148" s="71">
        <f t="shared" si="115"/>
        <v>24.494714796943967</v>
      </c>
      <c r="AG148" s="71">
        <f t="shared" si="104"/>
        <v>2.399964211934503</v>
      </c>
      <c r="AH148" s="71">
        <f t="shared" si="105"/>
        <v>4.8817204427520187</v>
      </c>
      <c r="AI148" s="74">
        <f t="shared" si="116"/>
        <v>7.2816846546865222</v>
      </c>
      <c r="AJ148" s="73">
        <f t="shared" si="117"/>
        <v>5.6400000000000015</v>
      </c>
      <c r="AK148" s="71">
        <f t="shared" si="106"/>
        <v>12.461613135894693</v>
      </c>
      <c r="AL148" s="71">
        <f t="shared" si="107"/>
        <v>0.6211672077948126</v>
      </c>
      <c r="AM148" s="71">
        <f t="shared" si="118"/>
        <v>2.3804000000000003</v>
      </c>
      <c r="AN148" s="188">
        <f t="shared" si="108"/>
        <v>0.36412418011894648</v>
      </c>
      <c r="AO148" s="74">
        <f t="shared" si="119"/>
        <v>3.3656913879137593</v>
      </c>
      <c r="AP148" s="73">
        <f t="shared" si="109"/>
        <v>1.1329242823984935</v>
      </c>
      <c r="AQ148" s="206">
        <f t="shared" si="110"/>
        <v>1.7371505663443567</v>
      </c>
      <c r="AR148" s="206">
        <f t="shared" si="111"/>
        <v>3.0218089420955812</v>
      </c>
      <c r="AS148" s="71">
        <f t="shared" si="112"/>
        <v>0.16</v>
      </c>
      <c r="AT148" s="74">
        <f t="shared" si="113"/>
        <v>3.6299999999999995E-5</v>
      </c>
      <c r="AU148" s="73">
        <f t="shared" si="120"/>
        <v>18.436446699783069</v>
      </c>
      <c r="AV148" s="71">
        <f t="shared" si="121"/>
        <v>301.74</v>
      </c>
      <c r="AW148" s="74">
        <f t="shared" si="122"/>
        <v>94.24178546241717</v>
      </c>
    </row>
    <row r="149" spans="17:49" x14ac:dyDescent="0.25">
      <c r="Q149">
        <v>142</v>
      </c>
      <c r="R149" s="73">
        <f t="shared" si="96"/>
        <v>53.5</v>
      </c>
      <c r="S149" s="71">
        <f t="shared" si="97"/>
        <v>5.68</v>
      </c>
      <c r="T149" s="71">
        <f t="shared" si="98"/>
        <v>11</v>
      </c>
      <c r="U149" s="74">
        <f t="shared" si="99"/>
        <v>27.625454545454545</v>
      </c>
      <c r="V149" s="73">
        <f>IF(Variable_Management!$B$20=3,2,IF((S149*R149/T149)&lt;((T149*(1-(T149/R149)))/(2*Lm*Fsw)),1,2))</f>
        <v>2</v>
      </c>
      <c r="W149" s="71">
        <f t="shared" si="100"/>
        <v>0.79439252336448596</v>
      </c>
      <c r="X149" s="74">
        <f t="shared" si="101"/>
        <v>0.20560747663551404</v>
      </c>
      <c r="Y149" s="73">
        <f t="shared" si="102"/>
        <v>5.8255451713395638</v>
      </c>
      <c r="Z149" s="71">
        <f t="shared" si="124"/>
        <v>30.538227131124327</v>
      </c>
      <c r="AA149" s="71">
        <f t="shared" si="125"/>
        <v>27.676593363735808</v>
      </c>
      <c r="AB149" s="71">
        <v>0</v>
      </c>
      <c r="AC149" s="71">
        <f t="shared" si="103"/>
        <v>1.7617857865096456</v>
      </c>
      <c r="AD149" s="74">
        <f t="shared" si="114"/>
        <v>1.7617857865096456</v>
      </c>
      <c r="AE149" s="73">
        <f t="shared" si="123"/>
        <v>21.945454545454545</v>
      </c>
      <c r="AF149" s="71">
        <f t="shared" si="115"/>
        <v>24.667787977997282</v>
      </c>
      <c r="AG149" s="71">
        <f t="shared" si="104"/>
        <v>2.4339990549097088</v>
      </c>
      <c r="AH149" s="71">
        <f t="shared" si="105"/>
        <v>4.9163425735516775</v>
      </c>
      <c r="AI149" s="74">
        <f t="shared" si="116"/>
        <v>7.3503416284613863</v>
      </c>
      <c r="AJ149" s="73">
        <f t="shared" si="117"/>
        <v>5.6800000000000006</v>
      </c>
      <c r="AK149" s="71">
        <f t="shared" si="106"/>
        <v>12.549663600836386</v>
      </c>
      <c r="AL149" s="71">
        <f t="shared" si="107"/>
        <v>0.62997622597663072</v>
      </c>
      <c r="AM149" s="71">
        <f t="shared" si="118"/>
        <v>2.3804000000000003</v>
      </c>
      <c r="AN149" s="188">
        <f t="shared" si="108"/>
        <v>0.36645872557349191</v>
      </c>
      <c r="AO149" s="74">
        <f t="shared" si="119"/>
        <v>3.3768349515501228</v>
      </c>
      <c r="AP149" s="73">
        <f t="shared" si="109"/>
        <v>1.1489907303323774</v>
      </c>
      <c r="AQ149" s="206">
        <f t="shared" si="110"/>
        <v>1.7617857865096456</v>
      </c>
      <c r="AR149" s="206">
        <f t="shared" si="111"/>
        <v>3.0218089420955812</v>
      </c>
      <c r="AS149" s="71">
        <f t="shared" si="112"/>
        <v>0.16</v>
      </c>
      <c r="AT149" s="74">
        <f t="shared" si="113"/>
        <v>3.6299999999999995E-5</v>
      </c>
      <c r="AU149" s="73">
        <f t="shared" si="120"/>
        <v>18.581584125458761</v>
      </c>
      <c r="AV149" s="71">
        <f t="shared" si="121"/>
        <v>303.88</v>
      </c>
      <c r="AW149" s="74">
        <f t="shared" si="122"/>
        <v>94.237582074821873</v>
      </c>
    </row>
    <row r="150" spans="17:49" x14ac:dyDescent="0.25">
      <c r="Q150">
        <v>143</v>
      </c>
      <c r="R150" s="73">
        <f t="shared" si="96"/>
        <v>53.5</v>
      </c>
      <c r="S150" s="71">
        <f t="shared" si="97"/>
        <v>5.72</v>
      </c>
      <c r="T150" s="71">
        <f t="shared" si="98"/>
        <v>11</v>
      </c>
      <c r="U150" s="74">
        <f t="shared" si="99"/>
        <v>27.819999999999997</v>
      </c>
      <c r="V150" s="73">
        <f>IF(Variable_Management!$B$20=3,2,IF((S150*R150/T150)&lt;((T150*(1-(T150/R150)))/(2*Lm*Fsw)),1,2))</f>
        <v>2</v>
      </c>
      <c r="W150" s="71">
        <f t="shared" si="100"/>
        <v>0.79439252336448596</v>
      </c>
      <c r="X150" s="74">
        <f t="shared" si="101"/>
        <v>0.20560747663551404</v>
      </c>
      <c r="Y150" s="73">
        <f t="shared" si="102"/>
        <v>5.8255451713395638</v>
      </c>
      <c r="Z150" s="71">
        <f t="shared" si="124"/>
        <v>30.732772585669778</v>
      </c>
      <c r="AA150" s="71">
        <f t="shared" si="125"/>
        <v>27.870781858042836</v>
      </c>
      <c r="AB150" s="71">
        <v>0</v>
      </c>
      <c r="AC150" s="71">
        <f t="shared" si="103"/>
        <v>1.7865951071708022</v>
      </c>
      <c r="AD150" s="74">
        <f t="shared" si="114"/>
        <v>1.7865951071708022</v>
      </c>
      <c r="AE150" s="73">
        <f t="shared" si="123"/>
        <v>22.099999999999998</v>
      </c>
      <c r="AF150" s="71">
        <f t="shared" si="115"/>
        <v>24.840865659284781</v>
      </c>
      <c r="AG150" s="71">
        <f t="shared" si="104"/>
        <v>2.4682744268105359</v>
      </c>
      <c r="AH150" s="71">
        <f t="shared" si="105"/>
        <v>4.9509647043513372</v>
      </c>
      <c r="AI150" s="74">
        <f t="shared" si="116"/>
        <v>7.4192391311618735</v>
      </c>
      <c r="AJ150" s="73">
        <f t="shared" si="117"/>
        <v>5.72</v>
      </c>
      <c r="AK150" s="71">
        <f t="shared" si="106"/>
        <v>12.637716355258801</v>
      </c>
      <c r="AL150" s="71">
        <f t="shared" si="107"/>
        <v>0.63884749870390323</v>
      </c>
      <c r="AM150" s="71">
        <f t="shared" si="118"/>
        <v>2.3804000000000003</v>
      </c>
      <c r="AN150" s="188">
        <f t="shared" si="108"/>
        <v>0.36879327102803733</v>
      </c>
      <c r="AO150" s="74">
        <f t="shared" si="119"/>
        <v>3.388040769731941</v>
      </c>
      <c r="AP150" s="73">
        <f t="shared" si="109"/>
        <v>1.1651707220679146</v>
      </c>
      <c r="AQ150" s="206">
        <f t="shared" si="110"/>
        <v>1.7865951071708022</v>
      </c>
      <c r="AR150" s="206">
        <f t="shared" si="111"/>
        <v>3.0218089420955812</v>
      </c>
      <c r="AS150" s="71">
        <f t="shared" si="112"/>
        <v>0.16</v>
      </c>
      <c r="AT150" s="74">
        <f t="shared" si="113"/>
        <v>3.6299999999999995E-5</v>
      </c>
      <c r="AU150" s="73">
        <f t="shared" si="120"/>
        <v>18.727486079398915</v>
      </c>
      <c r="AV150" s="71">
        <f t="shared" si="121"/>
        <v>306.02</v>
      </c>
      <c r="AW150" s="74">
        <f t="shared" si="122"/>
        <v>94.233215996375691</v>
      </c>
    </row>
    <row r="151" spans="17:49" x14ac:dyDescent="0.25">
      <c r="Q151">
        <v>144</v>
      </c>
      <c r="R151" s="73">
        <f t="shared" si="96"/>
        <v>53.5</v>
      </c>
      <c r="S151" s="71">
        <f t="shared" si="97"/>
        <v>5.76</v>
      </c>
      <c r="T151" s="71">
        <f t="shared" si="98"/>
        <v>11</v>
      </c>
      <c r="U151" s="74">
        <f t="shared" si="99"/>
        <v>28.014545454545452</v>
      </c>
      <c r="V151" s="73">
        <f>IF(Variable_Management!$B$20=3,2,IF((S151*R151/T151)&lt;((T151*(1-(T151/R151)))/(2*Lm*Fsw)),1,2))</f>
        <v>2</v>
      </c>
      <c r="W151" s="71">
        <f t="shared" si="100"/>
        <v>0.79439252336448596</v>
      </c>
      <c r="X151" s="74">
        <f t="shared" si="101"/>
        <v>0.20560747663551404</v>
      </c>
      <c r="Y151" s="73">
        <f t="shared" si="102"/>
        <v>5.8255451713395638</v>
      </c>
      <c r="Z151" s="71">
        <f t="shared" si="124"/>
        <v>30.927318040215233</v>
      </c>
      <c r="AA151" s="71">
        <f t="shared" si="125"/>
        <v>28.064975296682572</v>
      </c>
      <c r="AB151" s="71">
        <v>0</v>
      </c>
      <c r="AC151" s="71">
        <f t="shared" si="103"/>
        <v>1.811578528327827</v>
      </c>
      <c r="AD151" s="74">
        <f t="shared" si="114"/>
        <v>1.811578528327827</v>
      </c>
      <c r="AE151" s="73">
        <f t="shared" si="123"/>
        <v>22.25454545454545</v>
      </c>
      <c r="AF151" s="71">
        <f t="shared" si="115"/>
        <v>25.013947747391761</v>
      </c>
      <c r="AG151" s="71">
        <f t="shared" si="104"/>
        <v>2.5027903276369816</v>
      </c>
      <c r="AH151" s="71">
        <f t="shared" si="105"/>
        <v>4.9855868351509969</v>
      </c>
      <c r="AI151" s="74">
        <f t="shared" si="116"/>
        <v>7.4883771627879785</v>
      </c>
      <c r="AJ151" s="73">
        <f t="shared" si="117"/>
        <v>5.76</v>
      </c>
      <c r="AK151" s="71">
        <f t="shared" si="106"/>
        <v>12.725771351637496</v>
      </c>
      <c r="AL151" s="71">
        <f t="shared" si="107"/>
        <v>0.64778102597663056</v>
      </c>
      <c r="AM151" s="71">
        <f t="shared" si="118"/>
        <v>2.3804000000000003</v>
      </c>
      <c r="AN151" s="188">
        <f t="shared" si="108"/>
        <v>0.37112781648258281</v>
      </c>
      <c r="AO151" s="74">
        <f t="shared" si="119"/>
        <v>3.3993088424592135</v>
      </c>
      <c r="AP151" s="73">
        <f t="shared" si="109"/>
        <v>1.1814642576051047</v>
      </c>
      <c r="AQ151" s="206">
        <f t="shared" si="110"/>
        <v>1.811578528327827</v>
      </c>
      <c r="AR151" s="206">
        <f t="shared" si="111"/>
        <v>3.0218089420955812</v>
      </c>
      <c r="AS151" s="71">
        <f t="shared" si="112"/>
        <v>0.16</v>
      </c>
      <c r="AT151" s="74">
        <f t="shared" si="113"/>
        <v>3.6299999999999995E-5</v>
      </c>
      <c r="AU151" s="73">
        <f t="shared" si="120"/>
        <v>18.87415256160353</v>
      </c>
      <c r="AV151" s="71">
        <f t="shared" si="121"/>
        <v>308.15999999999997</v>
      </c>
      <c r="AW151" s="74">
        <f t="shared" si="122"/>
        <v>94.228690669226594</v>
      </c>
    </row>
    <row r="152" spans="17:49" x14ac:dyDescent="0.25">
      <c r="Q152">
        <v>145</v>
      </c>
      <c r="R152" s="73">
        <f t="shared" si="96"/>
        <v>53.5</v>
      </c>
      <c r="S152" s="71">
        <f t="shared" si="97"/>
        <v>5.8</v>
      </c>
      <c r="T152" s="71">
        <f t="shared" si="98"/>
        <v>11</v>
      </c>
      <c r="U152" s="74">
        <f t="shared" si="99"/>
        <v>28.209090909090911</v>
      </c>
      <c r="V152" s="73">
        <f>IF(Variable_Management!$B$20=3,2,IF((S152*R152/T152)&lt;((T152*(1-(T152/R152)))/(2*Lm*Fsw)),1,2))</f>
        <v>2</v>
      </c>
      <c r="W152" s="71">
        <f t="shared" si="100"/>
        <v>0.79439252336448596</v>
      </c>
      <c r="X152" s="74">
        <f t="shared" si="101"/>
        <v>0.20560747663551404</v>
      </c>
      <c r="Y152" s="73">
        <f t="shared" si="102"/>
        <v>5.8255451713395638</v>
      </c>
      <c r="Z152" s="71">
        <f t="shared" si="124"/>
        <v>31.121863494760692</v>
      </c>
      <c r="AA152" s="71">
        <f t="shared" si="125"/>
        <v>28.259173577724546</v>
      </c>
      <c r="AB152" s="71">
        <v>0</v>
      </c>
      <c r="AC152" s="71">
        <f t="shared" si="103"/>
        <v>1.8367360499807197</v>
      </c>
      <c r="AD152" s="74">
        <f t="shared" si="114"/>
        <v>1.8367360499807197</v>
      </c>
      <c r="AE152" s="73">
        <f t="shared" si="123"/>
        <v>22.40909090909091</v>
      </c>
      <c r="AF152" s="71">
        <f t="shared" si="115"/>
        <v>25.187034151468925</v>
      </c>
      <c r="AG152" s="71">
        <f t="shared" si="104"/>
        <v>2.5375467573890478</v>
      </c>
      <c r="AH152" s="71">
        <f t="shared" si="105"/>
        <v>5.0202089659506575</v>
      </c>
      <c r="AI152" s="74">
        <f t="shared" si="116"/>
        <v>7.5577557233397048</v>
      </c>
      <c r="AJ152" s="73">
        <f t="shared" si="117"/>
        <v>5.8000000000000007</v>
      </c>
      <c r="AK152" s="71">
        <f t="shared" si="106"/>
        <v>12.813828543753155</v>
      </c>
      <c r="AL152" s="71">
        <f t="shared" si="107"/>
        <v>0.65677680779481251</v>
      </c>
      <c r="AM152" s="71">
        <f t="shared" si="118"/>
        <v>2.3804000000000003</v>
      </c>
      <c r="AN152" s="188">
        <f t="shared" si="108"/>
        <v>0.37346236193712834</v>
      </c>
      <c r="AO152" s="74">
        <f t="shared" si="119"/>
        <v>3.4106391697319411</v>
      </c>
      <c r="AP152" s="73">
        <f t="shared" si="109"/>
        <v>1.1978713369439478</v>
      </c>
      <c r="AQ152" s="206">
        <f t="shared" si="110"/>
        <v>1.8367360499807197</v>
      </c>
      <c r="AR152" s="206">
        <f t="shared" si="111"/>
        <v>3.0218089420955812</v>
      </c>
      <c r="AS152" s="71">
        <f t="shared" si="112"/>
        <v>0.16</v>
      </c>
      <c r="AT152" s="74">
        <f t="shared" si="113"/>
        <v>3.6299999999999995E-5</v>
      </c>
      <c r="AU152" s="73">
        <f t="shared" si="120"/>
        <v>19.021583572072615</v>
      </c>
      <c r="AV152" s="71">
        <f t="shared" si="121"/>
        <v>310.3</v>
      </c>
      <c r="AW152" s="74">
        <f t="shared" si="122"/>
        <v>94.224009442153758</v>
      </c>
    </row>
    <row r="153" spans="17:49" x14ac:dyDescent="0.25">
      <c r="Q153">
        <v>146</v>
      </c>
      <c r="R153" s="73">
        <f t="shared" si="96"/>
        <v>53.5</v>
      </c>
      <c r="S153" s="71">
        <f t="shared" si="97"/>
        <v>5.84</v>
      </c>
      <c r="T153" s="71">
        <f t="shared" si="98"/>
        <v>11</v>
      </c>
      <c r="U153" s="74">
        <f t="shared" si="99"/>
        <v>28.403636363636362</v>
      </c>
      <c r="V153" s="73">
        <f>IF(Variable_Management!$B$20=3,2,IF((S153*R153/T153)&lt;((T153*(1-(T153/R153)))/(2*Lm*Fsw)),1,2))</f>
        <v>2</v>
      </c>
      <c r="W153" s="71">
        <f t="shared" si="100"/>
        <v>0.79439252336448596</v>
      </c>
      <c r="X153" s="74">
        <f t="shared" si="101"/>
        <v>0.20560747663551404</v>
      </c>
      <c r="Y153" s="73">
        <f t="shared" si="102"/>
        <v>5.8255451713395638</v>
      </c>
      <c r="Z153" s="71">
        <f t="shared" si="124"/>
        <v>31.316408949306144</v>
      </c>
      <c r="AA153" s="71">
        <f t="shared" si="125"/>
        <v>28.453376602018533</v>
      </c>
      <c r="AB153" s="71">
        <v>0</v>
      </c>
      <c r="AC153" s="71">
        <f t="shared" si="103"/>
        <v>1.86206767212948</v>
      </c>
      <c r="AD153" s="74">
        <f t="shared" si="114"/>
        <v>1.86206767212948</v>
      </c>
      <c r="AE153" s="73">
        <f t="shared" si="123"/>
        <v>22.563636363636363</v>
      </c>
      <c r="AF153" s="71">
        <f t="shared" si="115"/>
        <v>25.360124783144965</v>
      </c>
      <c r="AG153" s="71">
        <f t="shared" si="104"/>
        <v>2.5725437160667339</v>
      </c>
      <c r="AH153" s="71">
        <f t="shared" si="105"/>
        <v>5.0548310967503163</v>
      </c>
      <c r="AI153" s="74">
        <f t="shared" si="116"/>
        <v>7.6273748128170507</v>
      </c>
      <c r="AJ153" s="73">
        <f t="shared" si="117"/>
        <v>5.8400000000000007</v>
      </c>
      <c r="AK153" s="71">
        <f t="shared" si="106"/>
        <v>12.90188788664714</v>
      </c>
      <c r="AL153" s="71">
        <f t="shared" si="107"/>
        <v>0.66583484415844885</v>
      </c>
      <c r="AM153" s="71">
        <f t="shared" si="118"/>
        <v>2.3804000000000003</v>
      </c>
      <c r="AN153" s="188">
        <f t="shared" si="108"/>
        <v>0.37579690739167376</v>
      </c>
      <c r="AO153" s="74">
        <f t="shared" si="119"/>
        <v>3.4220317515501226</v>
      </c>
      <c r="AP153" s="73">
        <f t="shared" si="109"/>
        <v>1.2143919600844435</v>
      </c>
      <c r="AQ153" s="206">
        <f t="shared" si="110"/>
        <v>1.86206767212948</v>
      </c>
      <c r="AR153" s="206">
        <f t="shared" si="111"/>
        <v>3.0218089420955812</v>
      </c>
      <c r="AS153" s="71">
        <f t="shared" si="112"/>
        <v>0.16</v>
      </c>
      <c r="AT153" s="74">
        <f t="shared" si="113"/>
        <v>3.6299999999999995E-5</v>
      </c>
      <c r="AU153" s="73">
        <f t="shared" si="120"/>
        <v>19.169779110806157</v>
      </c>
      <c r="AV153" s="71">
        <f t="shared" si="121"/>
        <v>312.44</v>
      </c>
      <c r="AW153" s="74">
        <f t="shared" si="122"/>
        <v>94.219175573709293</v>
      </c>
    </row>
    <row r="154" spans="17:49" x14ac:dyDescent="0.25">
      <c r="Q154">
        <v>147</v>
      </c>
      <c r="R154" s="73">
        <f t="shared" si="96"/>
        <v>53.5</v>
      </c>
      <c r="S154" s="71">
        <f t="shared" si="97"/>
        <v>5.88</v>
      </c>
      <c r="T154" s="71">
        <f t="shared" si="98"/>
        <v>11</v>
      </c>
      <c r="U154" s="74">
        <f t="shared" si="99"/>
        <v>28.598181818181818</v>
      </c>
      <c r="V154" s="73">
        <f>IF(Variable_Management!$B$20=3,2,IF((S154*R154/T154)&lt;((T154*(1-(T154/R154)))/(2*Lm*Fsw)),1,2))</f>
        <v>2</v>
      </c>
      <c r="W154" s="71">
        <f t="shared" si="100"/>
        <v>0.79439252336448596</v>
      </c>
      <c r="X154" s="74">
        <f t="shared" si="101"/>
        <v>0.20560747663551404</v>
      </c>
      <c r="Y154" s="73">
        <f t="shared" si="102"/>
        <v>5.8255451713395638</v>
      </c>
      <c r="Z154" s="71">
        <f t="shared" si="124"/>
        <v>31.510954403851599</v>
      </c>
      <c r="AA154" s="71">
        <f t="shared" si="125"/>
        <v>28.647584273100495</v>
      </c>
      <c r="AB154" s="71">
        <v>0</v>
      </c>
      <c r="AC154" s="71">
        <f t="shared" si="103"/>
        <v>1.8875733947741082</v>
      </c>
      <c r="AD154" s="74">
        <f t="shared" si="114"/>
        <v>1.8875733947741082</v>
      </c>
      <c r="AE154" s="73">
        <f t="shared" si="123"/>
        <v>22.718181818181819</v>
      </c>
      <c r="AF154" s="71">
        <f t="shared" si="115"/>
        <v>25.533219556442738</v>
      </c>
      <c r="AG154" s="71">
        <f t="shared" si="104"/>
        <v>2.6077812036700396</v>
      </c>
      <c r="AH154" s="71">
        <f t="shared" si="105"/>
        <v>5.089453227549976</v>
      </c>
      <c r="AI154" s="74">
        <f t="shared" si="116"/>
        <v>7.697234431220016</v>
      </c>
      <c r="AJ154" s="73">
        <f t="shared" si="117"/>
        <v>5.8800000000000008</v>
      </c>
      <c r="AK154" s="71">
        <f t="shared" si="106"/>
        <v>12.989949336578835</v>
      </c>
      <c r="AL154" s="71">
        <f t="shared" si="107"/>
        <v>0.67495513506753968</v>
      </c>
      <c r="AM154" s="71">
        <f t="shared" si="118"/>
        <v>2.3804000000000003</v>
      </c>
      <c r="AN154" s="188">
        <f t="shared" si="108"/>
        <v>0.37813145284621918</v>
      </c>
      <c r="AO154" s="74">
        <f t="shared" si="119"/>
        <v>3.4334865879137588</v>
      </c>
      <c r="AP154" s="73">
        <f t="shared" si="109"/>
        <v>1.2310261270265923</v>
      </c>
      <c r="AQ154" s="206">
        <f t="shared" si="110"/>
        <v>1.8875733947741082</v>
      </c>
      <c r="AR154" s="206">
        <f t="shared" si="111"/>
        <v>3.0218089420955812</v>
      </c>
      <c r="AS154" s="71">
        <f t="shared" si="112"/>
        <v>0.16</v>
      </c>
      <c r="AT154" s="74">
        <f t="shared" si="113"/>
        <v>3.6299999999999995E-5</v>
      </c>
      <c r="AU154" s="73">
        <f t="shared" si="120"/>
        <v>19.318739177804165</v>
      </c>
      <c r="AV154" s="71">
        <f t="shared" si="121"/>
        <v>314.58</v>
      </c>
      <c r="AW154" s="74">
        <f t="shared" si="122"/>
        <v>94.214192235234307</v>
      </c>
    </row>
    <row r="155" spans="17:49" x14ac:dyDescent="0.25">
      <c r="Q155">
        <v>148</v>
      </c>
      <c r="R155" s="73">
        <f t="shared" si="96"/>
        <v>53.5</v>
      </c>
      <c r="S155" s="71">
        <f t="shared" si="97"/>
        <v>5.92</v>
      </c>
      <c r="T155" s="71">
        <f t="shared" si="98"/>
        <v>11</v>
      </c>
      <c r="U155" s="74">
        <f t="shared" si="99"/>
        <v>28.792727272727269</v>
      </c>
      <c r="V155" s="73">
        <f>IF(Variable_Management!$B$20=3,2,IF((S155*R155/T155)&lt;((T155*(1-(T155/R155)))/(2*Lm*Fsw)),1,2))</f>
        <v>2</v>
      </c>
      <c r="W155" s="71">
        <f t="shared" si="100"/>
        <v>0.79439252336448596</v>
      </c>
      <c r="X155" s="74">
        <f t="shared" si="101"/>
        <v>0.20560747663551404</v>
      </c>
      <c r="Y155" s="73">
        <f t="shared" si="102"/>
        <v>5.8255451713395638</v>
      </c>
      <c r="Z155" s="71">
        <f t="shared" si="124"/>
        <v>31.705499858397051</v>
      </c>
      <c r="AA155" s="71">
        <f t="shared" si="125"/>
        <v>28.841796497102301</v>
      </c>
      <c r="AB155" s="71">
        <v>0</v>
      </c>
      <c r="AC155" s="71">
        <f t="shared" si="103"/>
        <v>1.913253217914604</v>
      </c>
      <c r="AD155" s="74">
        <f t="shared" si="114"/>
        <v>1.913253217914604</v>
      </c>
      <c r="AE155" s="73">
        <f t="shared" si="123"/>
        <v>22.872727272727268</v>
      </c>
      <c r="AF155" s="71">
        <f t="shared" si="115"/>
        <v>25.706318387698794</v>
      </c>
      <c r="AG155" s="71">
        <f t="shared" si="104"/>
        <v>2.6432592201989649</v>
      </c>
      <c r="AH155" s="71">
        <f t="shared" si="105"/>
        <v>5.1240753583496357</v>
      </c>
      <c r="AI155" s="74">
        <f t="shared" si="116"/>
        <v>7.767334578548601</v>
      </c>
      <c r="AJ155" s="73">
        <f t="shared" si="117"/>
        <v>5.92</v>
      </c>
      <c r="AK155" s="71">
        <f t="shared" si="106"/>
        <v>13.078012850984713</v>
      </c>
      <c r="AL155" s="71">
        <f t="shared" si="107"/>
        <v>0.68413768052208523</v>
      </c>
      <c r="AM155" s="71">
        <f t="shared" si="118"/>
        <v>2.3804000000000003</v>
      </c>
      <c r="AN155" s="188">
        <f t="shared" si="108"/>
        <v>0.38046599830076461</v>
      </c>
      <c r="AO155" s="74">
        <f t="shared" si="119"/>
        <v>3.4450036788228502</v>
      </c>
      <c r="AP155" s="73">
        <f t="shared" si="109"/>
        <v>1.247773837770394</v>
      </c>
      <c r="AQ155" s="206">
        <f t="shared" si="110"/>
        <v>1.913253217914604</v>
      </c>
      <c r="AR155" s="206">
        <f t="shared" si="111"/>
        <v>3.0218089420955812</v>
      </c>
      <c r="AS155" s="71">
        <f t="shared" si="112"/>
        <v>0.16</v>
      </c>
      <c r="AT155" s="74">
        <f t="shared" si="113"/>
        <v>3.6299999999999995E-5</v>
      </c>
      <c r="AU155" s="73">
        <f t="shared" si="120"/>
        <v>19.468463773066635</v>
      </c>
      <c r="AV155" s="71">
        <f t="shared" si="121"/>
        <v>316.71999999999997</v>
      </c>
      <c r="AW155" s="74">
        <f t="shared" si="122"/>
        <v>94.209062513754731</v>
      </c>
    </row>
    <row r="156" spans="17:49" x14ac:dyDescent="0.25">
      <c r="Q156">
        <v>149</v>
      </c>
      <c r="R156" s="73">
        <f t="shared" si="96"/>
        <v>53.5</v>
      </c>
      <c r="S156" s="71">
        <f t="shared" si="97"/>
        <v>5.96</v>
      </c>
      <c r="T156" s="71">
        <f t="shared" si="98"/>
        <v>11</v>
      </c>
      <c r="U156" s="74">
        <f t="shared" si="99"/>
        <v>28.987272727272728</v>
      </c>
      <c r="V156" s="73">
        <f>IF(Variable_Management!$B$20=3,2,IF((S156*R156/T156)&lt;((T156*(1-(T156/R156)))/(2*Lm*Fsw)),1,2))</f>
        <v>2</v>
      </c>
      <c r="W156" s="71">
        <f t="shared" si="100"/>
        <v>0.79439252336448596</v>
      </c>
      <c r="X156" s="74">
        <f t="shared" si="101"/>
        <v>0.20560747663551404</v>
      </c>
      <c r="Y156" s="73">
        <f t="shared" si="102"/>
        <v>5.8255451713395638</v>
      </c>
      <c r="Z156" s="71">
        <f t="shared" si="124"/>
        <v>31.90004531294251</v>
      </c>
      <c r="AA156" s="71">
        <f t="shared" si="125"/>
        <v>29.036013182665059</v>
      </c>
      <c r="AB156" s="71">
        <v>0</v>
      </c>
      <c r="AC156" s="71">
        <f t="shared" si="103"/>
        <v>1.9391071415509678</v>
      </c>
      <c r="AD156" s="74">
        <f t="shared" si="114"/>
        <v>1.9391071415509678</v>
      </c>
      <c r="AE156" s="73">
        <f t="shared" si="123"/>
        <v>23.027272727272727</v>
      </c>
      <c r="AF156" s="71">
        <f t="shared" si="115"/>
        <v>25.879421195486149</v>
      </c>
      <c r="AG156" s="71">
        <f t="shared" si="104"/>
        <v>2.678977765653511</v>
      </c>
      <c r="AH156" s="71">
        <f t="shared" si="105"/>
        <v>5.1586974891492954</v>
      </c>
      <c r="AI156" s="74">
        <f t="shared" si="116"/>
        <v>7.8376752548028064</v>
      </c>
      <c r="AJ156" s="73">
        <f t="shared" si="117"/>
        <v>5.9600000000000009</v>
      </c>
      <c r="AK156" s="71">
        <f t="shared" si="106"/>
        <v>13.166078388439031</v>
      </c>
      <c r="AL156" s="71">
        <f t="shared" si="107"/>
        <v>0.69338248052208518</v>
      </c>
      <c r="AM156" s="71">
        <f t="shared" si="118"/>
        <v>2.3804000000000003</v>
      </c>
      <c r="AN156" s="188">
        <f t="shared" si="108"/>
        <v>0.38280054375531014</v>
      </c>
      <c r="AO156" s="74">
        <f t="shared" si="119"/>
        <v>3.4565830242773958</v>
      </c>
      <c r="AP156" s="73">
        <f t="shared" si="109"/>
        <v>1.2646350923158487</v>
      </c>
      <c r="AQ156" s="206">
        <f t="shared" si="110"/>
        <v>1.9391071415509678</v>
      </c>
      <c r="AR156" s="206">
        <f t="shared" si="111"/>
        <v>3.0218089420955812</v>
      </c>
      <c r="AS156" s="71">
        <f t="shared" si="112"/>
        <v>0.16</v>
      </c>
      <c r="AT156" s="74">
        <f t="shared" si="113"/>
        <v>3.6299999999999995E-5</v>
      </c>
      <c r="AU156" s="73">
        <f t="shared" si="120"/>
        <v>19.618952896593569</v>
      </c>
      <c r="AV156" s="71">
        <f t="shared" si="121"/>
        <v>318.86</v>
      </c>
      <c r="AW156" s="74">
        <f t="shared" si="122"/>
        <v>94.203789414762454</v>
      </c>
    </row>
    <row r="157" spans="17:49" ht="15.75" thickBot="1" x14ac:dyDescent="0.3">
      <c r="Q157">
        <v>150</v>
      </c>
      <c r="R157" s="75">
        <f t="shared" si="96"/>
        <v>53.5</v>
      </c>
      <c r="S157" s="76">
        <f t="shared" si="97"/>
        <v>6</v>
      </c>
      <c r="T157" s="76">
        <f t="shared" si="98"/>
        <v>11</v>
      </c>
      <c r="U157" s="77">
        <f t="shared" si="99"/>
        <v>29.181818181818183</v>
      </c>
      <c r="V157" s="73">
        <f>IF(Variable_Management!$B$20=3,2,IF((S157*R157/T157)&lt;((T157*(1-(T157/R157)))/(2*Lm*Fsw)),1,2))</f>
        <v>2</v>
      </c>
      <c r="W157" s="76">
        <f t="shared" si="100"/>
        <v>0.79439252336448596</v>
      </c>
      <c r="X157" s="74">
        <f t="shared" si="101"/>
        <v>0.20560747663551404</v>
      </c>
      <c r="Y157" s="75">
        <f t="shared" si="102"/>
        <v>5.8255451713395638</v>
      </c>
      <c r="Z157" s="76">
        <f t="shared" si="124"/>
        <v>32.094590767487965</v>
      </c>
      <c r="AA157" s="76">
        <f t="shared" si="125"/>
        <v>29.230234240855889</v>
      </c>
      <c r="AB157" s="76">
        <v>0</v>
      </c>
      <c r="AC157" s="76">
        <f t="shared" si="103"/>
        <v>1.9651351656831992</v>
      </c>
      <c r="AD157" s="77">
        <f t="shared" si="114"/>
        <v>1.9651351656831992</v>
      </c>
      <c r="AE157" s="75">
        <f t="shared" si="123"/>
        <v>23.181818181818183</v>
      </c>
      <c r="AF157" s="71">
        <f t="shared" si="115"/>
        <v>26.052527900540074</v>
      </c>
      <c r="AG157" s="76">
        <f t="shared" si="104"/>
        <v>2.7149368400336762</v>
      </c>
      <c r="AH157" s="76">
        <f t="shared" si="105"/>
        <v>5.1933196199489551</v>
      </c>
      <c r="AI157" s="77">
        <f t="shared" si="116"/>
        <v>7.9082564599826313</v>
      </c>
      <c r="AJ157" s="75">
        <f>X157*U157</f>
        <v>6.0000000000000009</v>
      </c>
      <c r="AK157" s="76">
        <f t="shared" si="106"/>
        <v>13.254145908616103</v>
      </c>
      <c r="AL157" s="71">
        <f t="shared" si="107"/>
        <v>0.70268953506753984</v>
      </c>
      <c r="AM157" s="71">
        <f t="shared" si="118"/>
        <v>2.3804000000000003</v>
      </c>
      <c r="AN157" s="188">
        <f>Vd_rect*t_dead*Fsw*Z157</f>
        <v>0.38513508920985556</v>
      </c>
      <c r="AO157" s="74">
        <f t="shared" si="119"/>
        <v>3.4682246242773958</v>
      </c>
      <c r="AP157" s="73">
        <f t="shared" si="109"/>
        <v>1.2816098906629561</v>
      </c>
      <c r="AQ157" s="206">
        <f t="shared" si="110"/>
        <v>1.9651351656831992</v>
      </c>
      <c r="AR157" s="206">
        <f t="shared" si="111"/>
        <v>3.0218089420955812</v>
      </c>
      <c r="AS157" s="71">
        <f t="shared" si="112"/>
        <v>0.16</v>
      </c>
      <c r="AT157" s="77">
        <f t="shared" si="113"/>
        <v>3.6299999999999995E-5</v>
      </c>
      <c r="AU157" s="73">
        <f t="shared" si="120"/>
        <v>19.770206548384962</v>
      </c>
      <c r="AV157" s="76">
        <f t="shared" si="121"/>
        <v>321</v>
      </c>
      <c r="AW157" s="77">
        <f>(AV157/(AV157+AU157))*100</f>
        <v>94.198375864887169</v>
      </c>
    </row>
  </sheetData>
  <mergeCells count="7">
    <mergeCell ref="AP5:AT5"/>
    <mergeCell ref="A1:M1"/>
    <mergeCell ref="R5:U5"/>
    <mergeCell ref="V5:X5"/>
    <mergeCell ref="Y5:AD5"/>
    <mergeCell ref="AE5:AI5"/>
    <mergeCell ref="AJ5:AO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A13" zoomScale="85" zoomScaleNormal="85" workbookViewId="0">
      <selection activeCell="B42" sqref="B42"/>
    </sheetView>
  </sheetViews>
  <sheetFormatPr baseColWidth="10" defaultColWidth="9.140625" defaultRowHeight="15" x14ac:dyDescent="0.25"/>
  <cols>
    <col min="1" max="1" width="18.7109375" customWidth="1"/>
    <col min="2" max="2" width="25" customWidth="1"/>
    <col min="8" max="9" width="8.85546875"/>
    <col min="10" max="10" width="12.7109375" bestFit="1" customWidth="1"/>
    <col min="14" max="14" width="17.85546875" customWidth="1"/>
    <col min="15" max="15" width="16.5703125" style="34" bestFit="1" customWidth="1"/>
    <col min="16" max="16" width="16.5703125" customWidth="1"/>
    <col min="29" max="29" width="8.85546875"/>
    <col min="32" max="37" width="8.7109375"/>
    <col min="38" max="38" width="11.42578125" bestFit="1" customWidth="1"/>
    <col min="39" max="40" width="8.7109375"/>
    <col min="41" max="41" width="13.140625" bestFit="1" customWidth="1"/>
    <col min="42" max="44" width="8.7109375"/>
    <col min="46" max="46" width="10.140625" customWidth="1"/>
    <col min="47" max="47" width="12" bestFit="1" customWidth="1"/>
    <col min="55" max="55" width="8.85546875"/>
    <col min="58" max="58" width="8.85546875"/>
  </cols>
  <sheetData>
    <row r="1" spans="1:65" ht="27.75" x14ac:dyDescent="0.4">
      <c r="A1" s="213" t="s">
        <v>15</v>
      </c>
      <c r="B1" s="213"/>
      <c r="C1" s="213"/>
      <c r="D1" s="213"/>
      <c r="E1" s="213"/>
      <c r="F1" s="213"/>
      <c r="G1" s="213"/>
      <c r="H1" s="213"/>
      <c r="I1" s="213"/>
      <c r="J1" s="213"/>
      <c r="K1" s="213"/>
      <c r="L1" s="213"/>
      <c r="M1" s="213"/>
      <c r="N1" s="213" t="s">
        <v>194</v>
      </c>
      <c r="O1" s="213"/>
      <c r="P1" s="213"/>
      <c r="Q1" s="213"/>
      <c r="R1" s="213"/>
      <c r="S1" s="213"/>
      <c r="T1" s="213"/>
      <c r="U1" s="213"/>
      <c r="V1" s="213"/>
      <c r="W1" s="213"/>
      <c r="X1" s="213"/>
    </row>
    <row r="2" spans="1:65" x14ac:dyDescent="0.25">
      <c r="A2" s="5"/>
      <c r="B2" s="5" t="s">
        <v>16</v>
      </c>
      <c r="C2" s="6"/>
      <c r="D2" s="4"/>
      <c r="E2" s="5"/>
      <c r="F2" s="5"/>
      <c r="G2" s="5"/>
      <c r="H2" s="5"/>
      <c r="I2" s="5"/>
      <c r="J2" s="5"/>
      <c r="K2" s="5"/>
      <c r="L2" s="5"/>
      <c r="M2" s="5"/>
      <c r="O2"/>
    </row>
    <row r="3" spans="1:65" ht="15.75" thickBot="1" x14ac:dyDescent="0.3">
      <c r="A3" s="5"/>
      <c r="B3" s="5" t="s">
        <v>17</v>
      </c>
      <c r="C3" s="7"/>
      <c r="D3" s="4"/>
      <c r="E3" s="5"/>
      <c r="F3" s="14"/>
      <c r="G3" s="15"/>
      <c r="H3" s="15"/>
      <c r="I3" s="15"/>
      <c r="J3" s="15"/>
      <c r="K3" s="24"/>
      <c r="L3" s="5"/>
      <c r="M3" s="5"/>
      <c r="O3" t="s">
        <v>481</v>
      </c>
    </row>
    <row r="4" spans="1:65" ht="15.75" thickBot="1" x14ac:dyDescent="0.3">
      <c r="A4" s="5"/>
      <c r="B4" s="5" t="s">
        <v>18</v>
      </c>
      <c r="C4" s="8"/>
      <c r="D4" s="4"/>
      <c r="E4" s="5"/>
      <c r="F4" s="14"/>
      <c r="G4" s="15"/>
      <c r="H4" s="15"/>
      <c r="I4" s="15"/>
      <c r="J4" s="15"/>
      <c r="K4" s="24"/>
      <c r="L4" s="5"/>
      <c r="M4" s="5"/>
      <c r="N4" s="177"/>
      <c r="O4" s="67"/>
      <c r="P4" s="225" t="s">
        <v>454</v>
      </c>
      <c r="Q4" s="225"/>
      <c r="R4" s="225"/>
      <c r="S4" s="225"/>
      <c r="T4" s="225"/>
      <c r="U4" s="225"/>
      <c r="V4" s="225"/>
      <c r="W4" s="225"/>
      <c r="X4" s="225"/>
      <c r="Y4" s="225"/>
      <c r="Z4" s="225"/>
      <c r="AA4" s="225"/>
      <c r="AB4" s="225"/>
      <c r="AC4" s="225"/>
      <c r="AD4" s="225"/>
      <c r="AE4" s="226"/>
      <c r="AF4" s="224" t="s">
        <v>571</v>
      </c>
      <c r="AG4" s="225"/>
      <c r="AH4" s="225"/>
      <c r="AI4" s="225"/>
      <c r="AJ4" s="225"/>
      <c r="AK4" s="225"/>
      <c r="AL4" s="225"/>
      <c r="AM4" s="225"/>
      <c r="AN4" s="225"/>
      <c r="AO4" s="225"/>
      <c r="AP4" s="225"/>
      <c r="AQ4" s="225"/>
      <c r="AR4" s="226"/>
      <c r="AS4" s="224" t="s">
        <v>225</v>
      </c>
      <c r="AT4" s="225"/>
      <c r="AU4" s="225"/>
      <c r="AV4" s="225"/>
      <c r="AW4" s="225"/>
      <c r="AX4" s="225"/>
      <c r="AY4" s="225"/>
      <c r="AZ4" s="225"/>
      <c r="BA4" s="225"/>
      <c r="BB4" s="225"/>
      <c r="BC4" s="225"/>
      <c r="BD4" s="225"/>
      <c r="BE4" s="226"/>
      <c r="BF4" s="224" t="s">
        <v>484</v>
      </c>
      <c r="BG4" s="225"/>
      <c r="BH4" s="226"/>
      <c r="BI4" s="224" t="s">
        <v>485</v>
      </c>
      <c r="BJ4" s="225"/>
      <c r="BK4" s="226"/>
      <c r="BL4" s="233" t="s">
        <v>486</v>
      </c>
      <c r="BM4" s="234"/>
    </row>
    <row r="5" spans="1:65" ht="15.75" thickBot="1" x14ac:dyDescent="0.3">
      <c r="A5" s="5"/>
      <c r="D5" s="4"/>
      <c r="E5" s="5"/>
      <c r="F5" s="5"/>
      <c r="G5" s="5"/>
      <c r="H5" s="5"/>
      <c r="I5" s="5"/>
      <c r="J5" s="5"/>
      <c r="K5" s="5"/>
      <c r="L5" s="5"/>
      <c r="M5" s="5"/>
      <c r="N5" s="178"/>
      <c r="O5" s="43"/>
      <c r="Q5" s="227" t="s">
        <v>217</v>
      </c>
      <c r="R5" s="227"/>
      <c r="S5" s="227"/>
      <c r="T5" s="223" t="s">
        <v>219</v>
      </c>
      <c r="U5" s="223"/>
      <c r="V5" s="223"/>
      <c r="W5" s="223" t="s">
        <v>219</v>
      </c>
      <c r="X5" s="223"/>
      <c r="Y5" s="223"/>
      <c r="Z5" s="223" t="s">
        <v>222</v>
      </c>
      <c r="AA5" s="223"/>
      <c r="AB5" s="223"/>
      <c r="AC5" s="231" t="s">
        <v>224</v>
      </c>
      <c r="AD5" s="223"/>
      <c r="AE5" s="232"/>
      <c r="AF5" s="153"/>
      <c r="AG5" s="227" t="s">
        <v>217</v>
      </c>
      <c r="AH5" s="227"/>
      <c r="AI5" s="227"/>
      <c r="AJ5" s="228" t="s">
        <v>219</v>
      </c>
      <c r="AK5" s="228"/>
      <c r="AL5" s="228"/>
      <c r="AM5" s="223" t="s">
        <v>258</v>
      </c>
      <c r="AN5" s="223"/>
      <c r="AO5" s="223"/>
      <c r="AP5" s="229" t="s">
        <v>224</v>
      </c>
      <c r="AQ5" s="228"/>
      <c r="AR5" s="230"/>
      <c r="AT5" s="223" t="s">
        <v>231</v>
      </c>
      <c r="AU5" s="223"/>
      <c r="AV5" s="223"/>
      <c r="AW5" s="223" t="s">
        <v>232</v>
      </c>
      <c r="AX5" s="223"/>
      <c r="AY5" s="223"/>
      <c r="AZ5" s="223" t="s">
        <v>226</v>
      </c>
      <c r="BA5" s="223"/>
      <c r="BB5" s="223"/>
      <c r="BC5" s="231" t="s">
        <v>224</v>
      </c>
      <c r="BD5" s="223"/>
      <c r="BE5" s="232"/>
      <c r="BF5" s="231" t="s">
        <v>224</v>
      </c>
      <c r="BG5" s="223"/>
      <c r="BH5" s="232"/>
      <c r="BI5" s="231" t="s">
        <v>224</v>
      </c>
      <c r="BJ5" s="223"/>
      <c r="BK5" s="232"/>
      <c r="BL5" s="231" t="s">
        <v>224</v>
      </c>
      <c r="BM5" s="232"/>
    </row>
    <row r="6" spans="1:65" ht="15.75" thickBot="1" x14ac:dyDescent="0.3">
      <c r="A6" s="9" t="s">
        <v>19</v>
      </c>
      <c r="B6" s="9" t="s">
        <v>20</v>
      </c>
      <c r="C6" s="9" t="s">
        <v>21</v>
      </c>
      <c r="D6" s="4"/>
      <c r="E6" s="214" t="s">
        <v>22</v>
      </c>
      <c r="F6" s="214"/>
      <c r="G6" s="214"/>
      <c r="H6" s="214"/>
      <c r="I6" s="214"/>
      <c r="J6" s="214"/>
      <c r="K6" s="214"/>
      <c r="L6" s="5"/>
      <c r="M6" s="9"/>
      <c r="N6" s="178"/>
      <c r="O6" s="43"/>
      <c r="P6" s="65" t="s">
        <v>200</v>
      </c>
      <c r="Q6" s="62" t="s">
        <v>223</v>
      </c>
      <c r="R6" s="64" t="s">
        <v>220</v>
      </c>
      <c r="S6" s="64" t="s">
        <v>221</v>
      </c>
      <c r="T6" s="64" t="s">
        <v>223</v>
      </c>
      <c r="U6" s="64" t="s">
        <v>220</v>
      </c>
      <c r="V6" s="64" t="s">
        <v>221</v>
      </c>
      <c r="W6" s="64" t="s">
        <v>223</v>
      </c>
      <c r="X6" s="64" t="s">
        <v>220</v>
      </c>
      <c r="Y6" s="64" t="s">
        <v>221</v>
      </c>
      <c r="Z6" s="64" t="s">
        <v>223</v>
      </c>
      <c r="AA6" s="64" t="s">
        <v>220</v>
      </c>
      <c r="AB6" s="64" t="s">
        <v>221</v>
      </c>
      <c r="AC6" s="65" t="s">
        <v>235</v>
      </c>
      <c r="AD6" s="64" t="s">
        <v>220</v>
      </c>
      <c r="AE6" s="181" t="s">
        <v>221</v>
      </c>
      <c r="AF6" s="182" t="s">
        <v>200</v>
      </c>
      <c r="AG6" s="183" t="s">
        <v>223</v>
      </c>
      <c r="AH6" s="183" t="s">
        <v>234</v>
      </c>
      <c r="AI6" s="183" t="s">
        <v>221</v>
      </c>
      <c r="AJ6" s="183" t="s">
        <v>223</v>
      </c>
      <c r="AK6" s="183" t="s">
        <v>234</v>
      </c>
      <c r="AL6" s="183" t="s">
        <v>221</v>
      </c>
      <c r="AM6" s="183" t="s">
        <v>223</v>
      </c>
      <c r="AN6" s="183" t="s">
        <v>234</v>
      </c>
      <c r="AO6" s="183" t="s">
        <v>221</v>
      </c>
      <c r="AP6" s="65" t="s">
        <v>235</v>
      </c>
      <c r="AQ6" s="64" t="s">
        <v>220</v>
      </c>
      <c r="AR6" s="181" t="s">
        <v>221</v>
      </c>
      <c r="AS6" s="65" t="s">
        <v>233</v>
      </c>
      <c r="AT6" s="64" t="s">
        <v>223</v>
      </c>
      <c r="AU6" s="64" t="s">
        <v>234</v>
      </c>
      <c r="AV6" s="64" t="s">
        <v>221</v>
      </c>
      <c r="AW6" s="64" t="s">
        <v>223</v>
      </c>
      <c r="AX6" s="64" t="s">
        <v>234</v>
      </c>
      <c r="AY6" s="64" t="s">
        <v>221</v>
      </c>
      <c r="AZ6" s="64" t="s">
        <v>223</v>
      </c>
      <c r="BA6" s="64" t="s">
        <v>234</v>
      </c>
      <c r="BB6" s="64" t="s">
        <v>221</v>
      </c>
      <c r="BC6" s="65" t="s">
        <v>235</v>
      </c>
      <c r="BD6" s="64" t="s">
        <v>220</v>
      </c>
      <c r="BE6" s="181" t="s">
        <v>221</v>
      </c>
      <c r="BF6" s="65" t="s">
        <v>235</v>
      </c>
      <c r="BG6" s="64" t="s">
        <v>220</v>
      </c>
      <c r="BH6" s="181" t="s">
        <v>221</v>
      </c>
      <c r="BI6" s="65" t="s">
        <v>235</v>
      </c>
      <c r="BJ6" s="64" t="s">
        <v>220</v>
      </c>
      <c r="BK6" s="181" t="s">
        <v>221</v>
      </c>
      <c r="BL6" s="65" t="s">
        <v>220</v>
      </c>
      <c r="BM6" s="181" t="s">
        <v>221</v>
      </c>
    </row>
    <row r="7" spans="1:65" ht="15.75" thickBot="1" x14ac:dyDescent="0.3">
      <c r="A7" s="9"/>
      <c r="B7" s="9"/>
      <c r="C7" s="9"/>
      <c r="D7" s="4"/>
      <c r="E7" s="5"/>
      <c r="F7" s="5"/>
      <c r="G7" s="5"/>
      <c r="H7" s="5"/>
      <c r="I7" s="5"/>
      <c r="J7" s="5"/>
      <c r="K7" s="5"/>
      <c r="L7" s="5"/>
      <c r="M7" s="9"/>
      <c r="N7" s="178" t="s">
        <v>397</v>
      </c>
      <c r="O7" s="67">
        <f>fcross</f>
        <v>10000</v>
      </c>
      <c r="P7" s="63" t="str">
        <f>COMPLEX(ADC_VINmin,0)</f>
        <v>54,631621870174</v>
      </c>
      <c r="Q7" s="64" t="str">
        <f>IMSUM(COMPLEX(1,0),IMDIV(COMPLEX(0,2*PI()*O7),COMPLEX(wp_lf_VINmin,0)))</f>
        <v>1+500,848426515016i</v>
      </c>
      <c r="R7" s="64">
        <f t="shared" ref="R7:R13" si="0">IMABS(Q7)</f>
        <v>500.84942482004254</v>
      </c>
      <c r="S7" s="64">
        <f t="shared" ref="S7:S13" si="1">IMARGUMENT(Q7)</f>
        <v>1.5687997174052226</v>
      </c>
      <c r="T7" s="64" t="str">
        <f>IMSUM(COMPLEX(1,0),IMDIV(COMPLEX(0,2*PI()*O7),COMPLEX(wz_esr_VINmin,0)))</f>
        <v>1+1,25663706143592i</v>
      </c>
      <c r="U7" s="64">
        <f t="shared" ref="U7:U13" si="2">IMABS(T7)</f>
        <v>1.6059690856844984</v>
      </c>
      <c r="V7" s="64">
        <f t="shared" ref="V7:V13" si="3">IMARGUMENT(T7)</f>
        <v>0.89863709305634321</v>
      </c>
      <c r="W7" s="62" t="str">
        <f>IMSUB(COMPLEX(1,0),IMDIV(COMPLEX(0,2*PI()*O7),COMPLEX(wz_RHP_VINmin,0)))</f>
        <v>1-0,250029233504708i</v>
      </c>
      <c r="X7" s="64">
        <f t="shared" ref="X7:X13" si="4">IMABS(W7)</f>
        <v>1.0307834969609049</v>
      </c>
      <c r="Y7" s="64">
        <f t="shared" ref="Y7:Y13" si="5">IMARGUMENT(W7)</f>
        <v>-0.24500617682438905</v>
      </c>
      <c r="Z7" s="62" t="str">
        <f>IMSUM(COMPLEX(1,0),IMDIV(COMPLEX(0,2*PI()*O7),COMPLEX(Q_VINmin*(wsl_VINmin/2),0)),IMDIV(IMPOWER(COMPLEX(0,2*PI()*O7),2),IMPOWER(COMPLEX(wsl_VINmin/2,0),2)))</f>
        <v>0,9996+0,0343519944364491i</v>
      </c>
      <c r="AA7" s="64">
        <f t="shared" ref="AA7:AA13" si="6">IMABS(Z7)</f>
        <v>1.000190091693455</v>
      </c>
      <c r="AB7" s="64">
        <f t="shared" ref="AB7:AB13" si="7">IMARGUMENT(Z7)</f>
        <v>3.4352221617146898E-2</v>
      </c>
      <c r="AC7" s="65" t="str">
        <f t="shared" ref="AC7:AC13" si="8">(IMDIV(IMPRODUCT(P7,T7,W7),IMPRODUCT(Q7,Z7)))</f>
        <v>0,105083900124871-0,146798838652575i</v>
      </c>
      <c r="AD7" s="66">
        <f t="shared" ref="AD7:AD13" si="9">20*LOG(IMABS(AC7))</f>
        <v>-14.868819914087673</v>
      </c>
      <c r="AE7" s="67">
        <f t="shared" ref="AE7:AE13" si="10">(180/PI())*IMARGUMENT(AC7)</f>
        <v>-54.403547164836063</v>
      </c>
      <c r="AF7" s="52" t="str">
        <f t="shared" ref="AF7:AF13" si="11">COMPLEX($B$72,0)</f>
        <v>171,265703090588</v>
      </c>
      <c r="AG7" s="55" t="str">
        <f t="shared" ref="AG7:AG13" si="12">IMSUM(COMPLEX(1,0),IMDIV(COMPLEX(0,2*PI()*O7),COMPLEX(wp_lf_DCM,0)))</f>
        <v>1+496,055298340263i</v>
      </c>
      <c r="AH7" s="55">
        <f>IMABS(AG7)</f>
        <v>496.05630629137988</v>
      </c>
      <c r="AI7" s="55">
        <f>IMARGUMENT(AG7)</f>
        <v>1.5687804252437474</v>
      </c>
      <c r="AJ7" s="55" t="str">
        <f t="shared" ref="AJ7:AJ13" si="13">IMSUM(COMPLEX(1,0),IMDIV(COMPLEX(0,2*PI()*O7),COMPLEX(wz1_dcm,0)))</f>
        <v>1+1,25663706143592i</v>
      </c>
      <c r="AK7" s="55">
        <f>IMABS(AJ7)</f>
        <v>1.6059690856844984</v>
      </c>
      <c r="AL7" s="55">
        <f>IMARGUMENT(AJ7)</f>
        <v>0.89863709305634321</v>
      </c>
      <c r="AM7" s="55" t="str">
        <f t="shared" ref="AM7:AM13" si="14">IMSUB(COMPLEX(1,0),IMDIV(COMPLEX(0,2*PI()*O7),COMPLEX(wz2_dcm,0)))</f>
        <v>1-0,0789928721903887i</v>
      </c>
      <c r="AN7" s="55">
        <f>IMABS(AM7)</f>
        <v>1.003115085051006</v>
      </c>
      <c r="AO7" s="55">
        <f>IMARGUMENT(AM7)</f>
        <v>-7.882918274295786E-2</v>
      </c>
      <c r="AP7" s="52" t="str">
        <f>(IMDIV(IMPRODUCT(AF7,AJ7,AM7),IMPRODUCT(AG7)))</f>
        <v>0,407351290698015-0,378705974814226i</v>
      </c>
      <c r="AQ7" s="55">
        <f>20*LOG(IMABS(AP7))</f>
        <v>-5.0954526171032013</v>
      </c>
      <c r="AR7" s="58">
        <f>(180/PI())*IMARGUMENT(AP7)</f>
        <v>-42.912964076808926</v>
      </c>
      <c r="AS7" s="39" t="str">
        <f t="shared" ref="AS7:AS13" si="15">COMPLEX(Adc_ea,0)</f>
        <v>-0,0000166666666666667</v>
      </c>
      <c r="AT7" s="39" t="str">
        <f t="shared" ref="AT7:AT13" si="16">COMPLEX(0,2*PI()*O7*wp0_ea)</f>
        <v>0,0000956300803752733i</v>
      </c>
      <c r="AU7" s="39">
        <f t="shared" ref="AU7:AU13" si="17">IMABS(AT7)</f>
        <v>9.5630080375273295E-5</v>
      </c>
      <c r="AV7" s="39">
        <f t="shared" ref="AV7:AV13" si="18">IMARGUMENT(AT7)</f>
        <v>1.5707963267948966</v>
      </c>
      <c r="AW7" s="39" t="str">
        <f t="shared" ref="AW7:AW13" si="19">IMSUM(COMPLEX(1,0),IMDIV(COMPLEX(0,2*PI()*O7),COMPLEX(wp1_ea,0)))</f>
        <v>1+0,299710416098054i</v>
      </c>
      <c r="AX7" s="39">
        <f t="shared" ref="AX7:AX13" si="20">IMABS(AW7)</f>
        <v>1.0439474764171177</v>
      </c>
      <c r="AY7" s="39">
        <f t="shared" ref="AY7:AY13" si="21">IMARGUMENT(AW7)</f>
        <v>0.29119110000320236</v>
      </c>
      <c r="AZ7" s="39" t="str">
        <f t="shared" ref="AZ7:AZ13" si="22">IMSUM(COMPLEX(1,0),IMDIV(COMPLEX(0,2*PI()*O7),COMPLEX(wz_ea,0)))</f>
        <v>1+20,7345115136926i</v>
      </c>
      <c r="BA7" s="39">
        <f t="shared" ref="BA7:BA13" si="23">IMABS(AZ7)</f>
        <v>20.758611892692898</v>
      </c>
      <c r="BB7" s="39">
        <f t="shared" ref="BB7:BB13" si="24">IMARGUMENT(AZ7)</f>
        <v>1.5226048976643627</v>
      </c>
      <c r="BC7" s="44" t="str">
        <f t="shared" ref="BC7:BC13" si="25">IMPRODUCT(AS7,IMDIV(AZ7,IMPRODUCT(AT7,AW7)))</f>
        <v>-3,26788937344074+1,15370316356523i</v>
      </c>
      <c r="BD7" s="39">
        <f t="shared" ref="BD7:BD13" si="26">20*LOG(IMABS(BC7))</f>
        <v>10.795477787097127</v>
      </c>
      <c r="BE7" s="45">
        <f t="shared" ref="BE7:BE13" si="27">(180/PI())*IMARGUMENT(BC7)</f>
        <v>160.55481344016113</v>
      </c>
      <c r="BF7" s="44" t="str">
        <f t="shared" ref="BF7:BF13" si="28">IMPRODUCT(AC7,BC7)</f>
        <v>-0,174040275976596+0,600957992880028i</v>
      </c>
      <c r="BG7" s="46">
        <f t="shared" ref="BG7:BG13" si="29">20*LOG(IMABS(BF7))</f>
        <v>-4.0733421269905454</v>
      </c>
      <c r="BH7" s="45">
        <f t="shared" ref="BH7:BH13" si="30">(180/PI())*IMARGUMENT(BF7)</f>
        <v>106.15126627532501</v>
      </c>
      <c r="BI7" s="44" t="str">
        <f>IMPRODUCT(AP7,BC7)</f>
        <v>-0,894264672925186+1,70753170351461i</v>
      </c>
      <c r="BJ7" s="46">
        <f t="shared" ref="BJ7:BJ13" si="31">20*LOG(IMABS(BI7))</f>
        <v>5.7000251699939453</v>
      </c>
      <c r="BK7" s="45">
        <f t="shared" ref="BK7:BK13" si="32">(180/PI())*IMARGUMENT(BI7)</f>
        <v>117.64184936335214</v>
      </c>
      <c r="BL7" s="41">
        <f>IF($B$31=0,BJ7,BG7)</f>
        <v>-4.0733421269905454</v>
      </c>
      <c r="BM7" s="43">
        <f>IF($B$31=0,BK7,BH7)</f>
        <v>106.15126627532501</v>
      </c>
    </row>
    <row r="8" spans="1:65" ht="15.75" thickBot="1" x14ac:dyDescent="0.3">
      <c r="A8" s="9"/>
      <c r="B8" s="9"/>
      <c r="C8" s="9"/>
      <c r="D8" s="4"/>
      <c r="E8" s="5"/>
      <c r="F8" s="5"/>
      <c r="G8" s="5"/>
      <c r="H8" s="5"/>
      <c r="I8" s="5"/>
      <c r="J8" s="5"/>
      <c r="K8" s="5"/>
      <c r="L8" s="5"/>
      <c r="M8" s="9"/>
      <c r="N8" s="177" t="s">
        <v>572</v>
      </c>
      <c r="O8" s="67">
        <f>fcross</f>
        <v>10000</v>
      </c>
      <c r="P8" s="63" t="str">
        <f t="shared" ref="P8:P13" si="33">COMPLEX(Adc,0)</f>
        <v>54,631621870174</v>
      </c>
      <c r="Q8" s="64" t="str">
        <f t="shared" ref="Q8:Q13" si="34">IMSUM(COMPLEX(1,0),IMDIV(COMPLEX(0,2*PI()*O8),COMPLEX(wp_lf,0)))</f>
        <v>1+500,848426515016i</v>
      </c>
      <c r="R8" s="64">
        <f t="shared" si="0"/>
        <v>500.84942482004254</v>
      </c>
      <c r="S8" s="64">
        <f t="shared" si="1"/>
        <v>1.5687997174052226</v>
      </c>
      <c r="T8" s="64" t="str">
        <f t="shared" ref="T8:T13" si="35">IMSUM(COMPLEX(1,0),IMDIV(COMPLEX(0,2*PI()*O8),COMPLEX(wz_esr,0)))</f>
        <v>1+1,25663706143592i</v>
      </c>
      <c r="U8" s="64">
        <f t="shared" si="2"/>
        <v>1.6059690856844984</v>
      </c>
      <c r="V8" s="64">
        <f t="shared" si="3"/>
        <v>0.89863709305634321</v>
      </c>
      <c r="W8" s="62" t="str">
        <f t="shared" ref="W8:W13" si="36">IMSUB(COMPLEX(1,0),IMDIV(COMPLEX(0,2*PI()*O8),COMPLEX(wz_rhp,0)))</f>
        <v>1-0,250029233504708i</v>
      </c>
      <c r="X8" s="64">
        <f t="shared" si="4"/>
        <v>1.0307834969609049</v>
      </c>
      <c r="Y8" s="64">
        <f t="shared" si="5"/>
        <v>-0.24500617682438905</v>
      </c>
      <c r="Z8" s="62" t="str">
        <f t="shared" ref="Z8:Z13" si="37">IMSUM(COMPLEX(1,0),IMDIV(COMPLEX(0,2*PI()*O8),COMPLEX(Q*(wsl/2),0)),IMDIV(IMPOWER(COMPLEX(0,2*PI()*O8),2),IMPOWER(COMPLEX(wsl/2,0),2)))</f>
        <v>0,9996+0,0343519944364491i</v>
      </c>
      <c r="AA8" s="64">
        <f t="shared" si="6"/>
        <v>1.000190091693455</v>
      </c>
      <c r="AB8" s="64">
        <f t="shared" si="7"/>
        <v>3.4352221617146898E-2</v>
      </c>
      <c r="AC8" s="65" t="str">
        <f t="shared" si="8"/>
        <v>0,105083900124871-0,146798838652575i</v>
      </c>
      <c r="AD8" s="66">
        <f t="shared" si="9"/>
        <v>-14.868819914087673</v>
      </c>
      <c r="AE8" s="67">
        <f t="shared" si="10"/>
        <v>-54.403547164836063</v>
      </c>
      <c r="AF8" s="41" t="str">
        <f t="shared" si="11"/>
        <v>171,265703090588</v>
      </c>
      <c r="AG8" t="str">
        <f t="shared" si="12"/>
        <v>1+496,055298340263i</v>
      </c>
      <c r="AH8">
        <f t="shared" ref="AH8:AH13" si="38">IMABS(AG8)</f>
        <v>496.05630629137988</v>
      </c>
      <c r="AI8">
        <f t="shared" ref="AI8:AI13" si="39">IMARGUMENT(AG8)</f>
        <v>1.5687804252437474</v>
      </c>
      <c r="AJ8" t="str">
        <f t="shared" si="13"/>
        <v>1+1,25663706143592i</v>
      </c>
      <c r="AK8">
        <f t="shared" ref="AK8:AK13" si="40">IMABS(AJ8)</f>
        <v>1.6059690856844984</v>
      </c>
      <c r="AL8">
        <f t="shared" ref="AL8:AL13" si="41">IMARGUMENT(AJ8)</f>
        <v>0.89863709305634321</v>
      </c>
      <c r="AM8" t="str">
        <f t="shared" si="14"/>
        <v>1-0,0789928721903887i</v>
      </c>
      <c r="AN8">
        <f t="shared" ref="AN8:AN13" si="42">IMABS(AM8)</f>
        <v>1.003115085051006</v>
      </c>
      <c r="AO8">
        <f t="shared" ref="AO8:AO13" si="43">IMARGUMENT(AM8)</f>
        <v>-7.882918274295786E-2</v>
      </c>
      <c r="AP8" s="41" t="str">
        <f t="shared" ref="AP8:AP13" si="44">(IMDIV(IMPRODUCT(AF8,AJ8,AM8),IMPRODUCT(AG8)))</f>
        <v>0,407351290698015-0,378705974814226i</v>
      </c>
      <c r="AQ8">
        <f t="shared" ref="AQ8:AQ13" si="45">20*LOG(IMABS(AP8))</f>
        <v>-5.0954526171032013</v>
      </c>
      <c r="AR8" s="43">
        <f t="shared" ref="AR8:AR13" si="46">(180/PI())*IMARGUMENT(AP8)</f>
        <v>-42.912964076808926</v>
      </c>
      <c r="AS8" s="62" t="str">
        <f t="shared" si="15"/>
        <v>-0,0000166666666666667</v>
      </c>
      <c r="AT8" s="62" t="str">
        <f t="shared" si="16"/>
        <v>0,0000956300803752733i</v>
      </c>
      <c r="AU8" s="62">
        <f t="shared" si="17"/>
        <v>9.5630080375273295E-5</v>
      </c>
      <c r="AV8" s="62">
        <f t="shared" si="18"/>
        <v>1.5707963267948966</v>
      </c>
      <c r="AW8" s="62" t="str">
        <f t="shared" si="19"/>
        <v>1+0,299710416098054i</v>
      </c>
      <c r="AX8" s="62">
        <f t="shared" si="20"/>
        <v>1.0439474764171177</v>
      </c>
      <c r="AY8" s="62">
        <f t="shared" si="21"/>
        <v>0.29119110000320236</v>
      </c>
      <c r="AZ8" s="62" t="str">
        <f t="shared" si="22"/>
        <v>1+20,7345115136926i</v>
      </c>
      <c r="BA8" s="62">
        <f t="shared" si="23"/>
        <v>20.758611892692898</v>
      </c>
      <c r="BB8" s="62">
        <f t="shared" si="24"/>
        <v>1.5226048976643627</v>
      </c>
      <c r="BC8" s="61" t="str">
        <f t="shared" si="25"/>
        <v>-3,26788937344074+1,15370316356523i</v>
      </c>
      <c r="BD8" s="62">
        <f t="shared" si="26"/>
        <v>10.795477787097127</v>
      </c>
      <c r="BE8" s="67">
        <f t="shared" si="27"/>
        <v>160.55481344016113</v>
      </c>
      <c r="BF8" s="61" t="str">
        <f t="shared" si="28"/>
        <v>-0,174040275976596+0,600957992880028i</v>
      </c>
      <c r="BG8" s="66">
        <f t="shared" si="29"/>
        <v>-4.0733421269905454</v>
      </c>
      <c r="BH8" s="67">
        <f t="shared" si="30"/>
        <v>106.15126627532501</v>
      </c>
      <c r="BI8" s="61" t="str">
        <f t="shared" ref="BI8:BI13" si="47">IMPRODUCT(AP8,BC8)</f>
        <v>-0,894264672925186+1,70753170351461i</v>
      </c>
      <c r="BJ8" s="66">
        <f t="shared" si="31"/>
        <v>5.7000251699939453</v>
      </c>
      <c r="BK8" s="67">
        <f t="shared" si="32"/>
        <v>117.64184936335214</v>
      </c>
      <c r="BL8" s="41">
        <f t="shared" ref="BL8:BL13" si="48">IF($B$31=0,BJ8,BG8)</f>
        <v>-4.0733421269905454</v>
      </c>
      <c r="BM8" s="43">
        <f t="shared" ref="BM8:BM13" si="49">IF($B$31=0,BK8,BH8)</f>
        <v>106.15126627532501</v>
      </c>
    </row>
    <row r="9" spans="1:65" ht="15.75" thickBot="1" x14ac:dyDescent="0.3">
      <c r="A9" s="50" t="s">
        <v>172</v>
      </c>
      <c r="B9" s="9"/>
      <c r="C9" s="9"/>
      <c r="D9" s="4"/>
      <c r="E9" s="5"/>
      <c r="F9" s="5"/>
      <c r="G9" s="5"/>
      <c r="H9" s="5"/>
      <c r="I9" s="5"/>
      <c r="J9" s="5"/>
      <c r="K9" s="5"/>
      <c r="L9" s="5"/>
      <c r="M9" s="9"/>
      <c r="N9" s="179" t="s">
        <v>258</v>
      </c>
      <c r="O9" s="68">
        <f>IF($B$31=0,B78,wz_rhp/(2*PI()))</f>
        <v>39995.323186125308</v>
      </c>
      <c r="P9" s="53" t="str">
        <f t="shared" si="33"/>
        <v>54,631621870174</v>
      </c>
      <c r="Q9" s="54" t="str">
        <f t="shared" si="34"/>
        <v>1+2003,15946857304i</v>
      </c>
      <c r="R9" s="54">
        <f t="shared" si="0"/>
        <v>2003.159718178714</v>
      </c>
      <c r="S9" s="54">
        <f t="shared" si="1"/>
        <v>1.5702971154576975</v>
      </c>
      <c r="T9" s="54" t="str">
        <f t="shared" si="35"/>
        <v>1+5,02596053997924i</v>
      </c>
      <c r="U9" s="54">
        <f t="shared" si="2"/>
        <v>5.124478446576628</v>
      </c>
      <c r="V9" s="54">
        <f t="shared" si="3"/>
        <v>1.3743942888531466</v>
      </c>
      <c r="W9" s="55" t="str">
        <f t="shared" si="36"/>
        <v>1-i</v>
      </c>
      <c r="X9" s="54">
        <f t="shared" si="4"/>
        <v>1.4142135623730951</v>
      </c>
      <c r="Y9" s="54">
        <f t="shared" si="5"/>
        <v>-0.78539816339744828</v>
      </c>
      <c r="Z9" s="55" t="str">
        <f t="shared" si="37"/>
        <v>0,993601496492949+0,137391911957376i</v>
      </c>
      <c r="AA9" s="54">
        <f t="shared" si="6"/>
        <v>1.003055567406079</v>
      </c>
      <c r="AB9" s="54">
        <f t="shared" si="7"/>
        <v>0.13740534665263629</v>
      </c>
      <c r="AC9" s="56" t="str">
        <f t="shared" si="8"/>
        <v>0,0860789696879026-0,177250214894383i</v>
      </c>
      <c r="AD9" s="57">
        <f t="shared" si="9"/>
        <v>-14.108636173455189</v>
      </c>
      <c r="AE9" s="58">
        <f t="shared" si="10"/>
        <v>-64.097151604852016</v>
      </c>
      <c r="AF9" s="41" t="str">
        <f t="shared" si="11"/>
        <v>171,265703090588</v>
      </c>
      <c r="AG9" t="str">
        <f t="shared" si="12"/>
        <v>1+1983,98919753086i</v>
      </c>
      <c r="AH9">
        <f t="shared" si="38"/>
        <v>1983.9894495483454</v>
      </c>
      <c r="AI9">
        <f t="shared" si="39"/>
        <v>1.5702922918351494</v>
      </c>
      <c r="AJ9" t="str">
        <f t="shared" si="13"/>
        <v>1+5,02596053997924i</v>
      </c>
      <c r="AK9">
        <f t="shared" si="40"/>
        <v>5.124478446576628</v>
      </c>
      <c r="AL9">
        <f t="shared" si="41"/>
        <v>1.3743942888531466</v>
      </c>
      <c r="AM9" t="str">
        <f t="shared" si="14"/>
        <v>1-0,315934545265489i</v>
      </c>
      <c r="AN9">
        <f t="shared" si="42"/>
        <v>1.0487204760526569</v>
      </c>
      <c r="AO9">
        <f t="shared" si="43"/>
        <v>-0.30601078238463258</v>
      </c>
      <c r="AP9" s="41" t="str">
        <f t="shared" si="44"/>
        <v>0,406700351504231-0,223190456801808i</v>
      </c>
      <c r="AQ9">
        <f t="shared" si="45"/>
        <v>-6.6711907621862929</v>
      </c>
      <c r="AR9" s="43">
        <f t="shared" si="46"/>
        <v>-28.757255102045765</v>
      </c>
      <c r="AS9" s="55" t="str">
        <f t="shared" si="15"/>
        <v>-0,0000166666666666667</v>
      </c>
      <c r="AT9" s="55" t="str">
        <f t="shared" si="16"/>
        <v>0,00038247559709242i</v>
      </c>
      <c r="AU9" s="55">
        <f t="shared" si="17"/>
        <v>3.8247559709242001E-4</v>
      </c>
      <c r="AV9" s="55">
        <f t="shared" si="18"/>
        <v>1.5707963267948966</v>
      </c>
      <c r="AW9" s="55" t="str">
        <f t="shared" si="19"/>
        <v>1+1,19870149540898i</v>
      </c>
      <c r="AX9" s="55">
        <f t="shared" si="20"/>
        <v>1.5610526176576256</v>
      </c>
      <c r="AY9" s="55">
        <f t="shared" si="21"/>
        <v>0.87552553656762921</v>
      </c>
      <c r="AZ9" s="55" t="str">
        <f t="shared" si="22"/>
        <v>1+82,9283489096575i</v>
      </c>
      <c r="BA9" s="55">
        <f t="shared" si="23"/>
        <v>82.934377991770646</v>
      </c>
      <c r="BB9" s="55">
        <f t="shared" si="24"/>
        <v>1.5587383086694842</v>
      </c>
      <c r="BC9" s="52" t="str">
        <f t="shared" si="25"/>
        <v>-1,46146883917561+1,79544064782919i</v>
      </c>
      <c r="BD9" s="55">
        <f t="shared" si="26"/>
        <v>7.2912413651064334</v>
      </c>
      <c r="BE9" s="58">
        <f t="shared" si="27"/>
        <v>129.14520835086961</v>
      </c>
      <c r="BF9" s="52" t="str">
        <f t="shared" si="28"/>
        <v>0,192440508750623+0,413595346906238i</v>
      </c>
      <c r="BG9" s="57">
        <f t="shared" si="29"/>
        <v>-6.8173948083487579</v>
      </c>
      <c r="BH9" s="58">
        <f t="shared" si="30"/>
        <v>65.048056746017551</v>
      </c>
      <c r="BI9" s="61" t="str">
        <f t="shared" si="47"/>
        <v>-0,19365467225567+1,05639224039433i</v>
      </c>
      <c r="BJ9" s="57">
        <f t="shared" si="31"/>
        <v>0.62005060292015535</v>
      </c>
      <c r="BK9" s="58">
        <f t="shared" si="32"/>
        <v>100.38795324882385</v>
      </c>
      <c r="BL9" s="41">
        <f t="shared" si="48"/>
        <v>-6.8173948083487579</v>
      </c>
      <c r="BM9" s="43">
        <f t="shared" si="49"/>
        <v>65.048056746017551</v>
      </c>
    </row>
    <row r="10" spans="1:65" ht="15.75" thickBot="1" x14ac:dyDescent="0.3">
      <c r="A10" t="s">
        <v>25</v>
      </c>
      <c r="B10" s="3">
        <f>VIN_min</f>
        <v>11</v>
      </c>
      <c r="C10" t="s">
        <v>10</v>
      </c>
      <c r="E10" t="s">
        <v>28</v>
      </c>
      <c r="N10" s="178" t="s">
        <v>219</v>
      </c>
      <c r="O10" s="69">
        <f>IF(B31=0,B76,wz_esr/(2*PI()))</f>
        <v>7957.7471545947656</v>
      </c>
      <c r="P10" s="33" t="str">
        <f t="shared" si="33"/>
        <v>54,631621870174</v>
      </c>
      <c r="Q10" s="4" t="str">
        <f t="shared" si="34"/>
        <v>1+398,562514098314i</v>
      </c>
      <c r="R10" s="4">
        <f t="shared" si="0"/>
        <v>398.56376860468481</v>
      </c>
      <c r="S10" s="4">
        <f t="shared" si="1"/>
        <v>1.5682873153694694</v>
      </c>
      <c r="T10" s="4" t="str">
        <f t="shared" si="35"/>
        <v>1+i</v>
      </c>
      <c r="U10" s="4">
        <f t="shared" si="2"/>
        <v>1.4142135623730951</v>
      </c>
      <c r="V10" s="4">
        <f t="shared" si="3"/>
        <v>0.78539816339744828</v>
      </c>
      <c r="W10" t="str">
        <f t="shared" si="36"/>
        <v>1-0,19896694214876i</v>
      </c>
      <c r="X10" s="4">
        <f t="shared" si="4"/>
        <v>1.0196018066225794</v>
      </c>
      <c r="Y10" s="4">
        <f t="shared" si="5"/>
        <v>-0.19640203794175007</v>
      </c>
      <c r="Z10" t="str">
        <f t="shared" si="37"/>
        <v>0,999746697040894+0,0273364485981308i</v>
      </c>
      <c r="AA10" s="4">
        <f t="shared" si="6"/>
        <v>1.0001203625894912</v>
      </c>
      <c r="AB10" s="4">
        <f t="shared" si="7"/>
        <v>2.7336563294042139E-2</v>
      </c>
      <c r="AC10" s="47" t="str">
        <f t="shared" si="8"/>
        <v>0,105672184089444-0,166998861730894i</v>
      </c>
      <c r="AD10" s="20">
        <f t="shared" si="9"/>
        <v>-14.083207968055911</v>
      </c>
      <c r="AE10" s="43">
        <f t="shared" si="10"/>
        <v>-57.67552179954432</v>
      </c>
      <c r="AF10" s="41" t="str">
        <f t="shared" si="11"/>
        <v>171,265703090588</v>
      </c>
      <c r="AG10" t="str">
        <f t="shared" si="12"/>
        <v>1+394,748263888888i</v>
      </c>
      <c r="AH10">
        <f t="shared" si="38"/>
        <v>394.74953051687237</v>
      </c>
      <c r="AI10">
        <f t="shared" si="39"/>
        <v>1.568263072180877</v>
      </c>
      <c r="AJ10" t="str">
        <f t="shared" si="13"/>
        <v>1+i</v>
      </c>
      <c r="AK10">
        <f t="shared" si="40"/>
        <v>1.4142135623730951</v>
      </c>
      <c r="AL10">
        <f t="shared" si="41"/>
        <v>0.78539816339744828</v>
      </c>
      <c r="AM10" t="str">
        <f t="shared" si="14"/>
        <v>1-0,0628605303906333i</v>
      </c>
      <c r="AN10">
        <f t="shared" si="42"/>
        <v>1.0019737752461348</v>
      </c>
      <c r="AO10">
        <f t="shared" si="43"/>
        <v>-6.2777929468559243E-2</v>
      </c>
      <c r="AP10" s="41" t="str">
        <f t="shared" si="44"/>
        <v>0,40775340945413-0,460100320203702i</v>
      </c>
      <c r="AQ10">
        <f t="shared" si="45"/>
        <v>-4.2255973539373191</v>
      </c>
      <c r="AR10" s="43">
        <f t="shared" si="46"/>
        <v>-48.451765607302995</v>
      </c>
      <c r="AS10" t="str">
        <f t="shared" si="15"/>
        <v>-0,0000166666666666667</v>
      </c>
      <c r="AT10" t="str">
        <f t="shared" si="16"/>
        <v>0,0000761i</v>
      </c>
      <c r="AU10">
        <f t="shared" si="17"/>
        <v>7.6100000000000007E-5</v>
      </c>
      <c r="AV10">
        <f t="shared" si="18"/>
        <v>1.5707963267948966</v>
      </c>
      <c r="AW10" t="str">
        <f t="shared" si="19"/>
        <v>1+0,23850197109067i</v>
      </c>
      <c r="AX10">
        <f t="shared" si="20"/>
        <v>1.0280482431355713</v>
      </c>
      <c r="AY10">
        <f t="shared" si="21"/>
        <v>0.23412805813325574</v>
      </c>
      <c r="AZ10" t="str">
        <f t="shared" si="22"/>
        <v>1+16,5i</v>
      </c>
      <c r="BA10">
        <f t="shared" si="23"/>
        <v>16.530275254816537</v>
      </c>
      <c r="BB10">
        <f t="shared" si="24"/>
        <v>1.5102643070127895</v>
      </c>
      <c r="BC10" s="41" t="str">
        <f t="shared" si="25"/>
        <v>-3,36974977667751+1,02270203828336i</v>
      </c>
      <c r="BD10">
        <f t="shared" si="26"/>
        <v>10.934613658353419</v>
      </c>
      <c r="BE10" s="43">
        <f t="shared" si="27"/>
        <v>163.11722114445368</v>
      </c>
      <c r="BF10" s="41" t="str">
        <f t="shared" si="28"/>
        <v>-0,185298742453242+0,670815535081207i</v>
      </c>
      <c r="BG10" s="20">
        <f t="shared" si="29"/>
        <v>-3.1485943097024958</v>
      </c>
      <c r="BH10" s="43">
        <f t="shared" si="30"/>
        <v>105.44169934490932</v>
      </c>
      <c r="BI10" s="61" t="str">
        <f t="shared" si="47"/>
        <v>-0,903481425160395+1,9674331942214i</v>
      </c>
      <c r="BJ10" s="20">
        <f t="shared" si="31"/>
        <v>6.7090163044160844</v>
      </c>
      <c r="BK10" s="43">
        <f t="shared" si="32"/>
        <v>114.66545553715071</v>
      </c>
      <c r="BL10" s="41">
        <f t="shared" si="48"/>
        <v>-3.1485943097024958</v>
      </c>
      <c r="BM10" s="43">
        <f t="shared" si="49"/>
        <v>105.44169934490932</v>
      </c>
    </row>
    <row r="11" spans="1:65" ht="15.75" thickBot="1" x14ac:dyDescent="0.3">
      <c r="A11" t="s">
        <v>26</v>
      </c>
      <c r="B11" s="3">
        <f>VIN_nom</f>
        <v>11</v>
      </c>
      <c r="C11" t="s">
        <v>10</v>
      </c>
      <c r="E11" t="s">
        <v>29</v>
      </c>
      <c r="N11" s="180" t="s">
        <v>217</v>
      </c>
      <c r="O11" s="70">
        <f>IF(B31=0,B74,wp_lf/(2*PI()))</f>
        <v>19.966120428053593</v>
      </c>
      <c r="P11" s="59" t="str">
        <f t="shared" si="33"/>
        <v>54,631621870174</v>
      </c>
      <c r="Q11" s="38" t="str">
        <f t="shared" si="34"/>
        <v>1+i</v>
      </c>
      <c r="R11" s="38">
        <f t="shared" si="0"/>
        <v>1.4142135623730951</v>
      </c>
      <c r="S11" s="38">
        <f t="shared" si="1"/>
        <v>0.78539816339744828</v>
      </c>
      <c r="T11" s="38" t="str">
        <f t="shared" si="35"/>
        <v>1+0,0025090166902985i</v>
      </c>
      <c r="U11" s="38">
        <f t="shared" si="2"/>
        <v>1.0000031475774225</v>
      </c>
      <c r="V11" s="38">
        <f t="shared" si="3"/>
        <v>2.5090114254272423E-3</v>
      </c>
      <c r="W11" s="39" t="str">
        <f t="shared" si="36"/>
        <v>1-0,000499211378668895i</v>
      </c>
      <c r="X11" s="38">
        <f t="shared" si="4"/>
        <v>1.0000001246059926</v>
      </c>
      <c r="Y11" s="38">
        <f t="shared" si="5"/>
        <v>-4.9921133719907904E-4</v>
      </c>
      <c r="Z11" s="39" t="str">
        <f t="shared" si="37"/>
        <v>0,999999998405416+0,0000685876057861973i</v>
      </c>
      <c r="AA11" s="38">
        <f t="shared" si="6"/>
        <v>1.0000000007575458</v>
      </c>
      <c r="AB11" s="38">
        <f t="shared" si="7"/>
        <v>6.8587605788014708E-5</v>
      </c>
      <c r="AC11" s="42" t="str">
        <f t="shared" si="8"/>
        <v>27,3688747627524-27,262822896108i</v>
      </c>
      <c r="AD11" s="46">
        <f t="shared" si="9"/>
        <v>31.738610334059246</v>
      </c>
      <c r="AE11" s="45">
        <f t="shared" si="10"/>
        <v>-44.888776717617922</v>
      </c>
      <c r="AF11" s="41" t="str">
        <f t="shared" si="11"/>
        <v>171,265703090588</v>
      </c>
      <c r="AG11" t="str">
        <f t="shared" si="12"/>
        <v>1+0,990429982563578i</v>
      </c>
      <c r="AH11">
        <f t="shared" si="38"/>
        <v>1.4074628060310828</v>
      </c>
      <c r="AI11">
        <f t="shared" si="39"/>
        <v>0.7805901853334698</v>
      </c>
      <c r="AJ11" t="str">
        <f t="shared" si="13"/>
        <v>1+0,0025090166902985i</v>
      </c>
      <c r="AK11">
        <f t="shared" si="40"/>
        <v>1.0000031475774225</v>
      </c>
      <c r="AL11">
        <f t="shared" si="41"/>
        <v>2.5090114254272423E-3</v>
      </c>
      <c r="AM11" t="str">
        <f t="shared" si="14"/>
        <v>1-0,000157718119911115i</v>
      </c>
      <c r="AN11">
        <f t="shared" si="42"/>
        <v>1.0000000124375026</v>
      </c>
      <c r="AO11">
        <f t="shared" si="43"/>
        <v>-1.5771811860336866E-4</v>
      </c>
      <c r="AP11" s="41" t="str">
        <f t="shared" si="44"/>
        <v>86,6576539035196-85,4256418418302i</v>
      </c>
      <c r="AQ11">
        <f t="shared" si="45"/>
        <v>41.704696945267685</v>
      </c>
      <c r="AR11" s="43">
        <f t="shared" si="46"/>
        <v>-44.589803966064189</v>
      </c>
      <c r="AS11" s="39" t="str">
        <f t="shared" si="15"/>
        <v>-0,0000166666666666667</v>
      </c>
      <c r="AT11" s="39" t="str">
        <f t="shared" si="16"/>
        <v>1,90936170131715E-07i</v>
      </c>
      <c r="AU11" s="39">
        <f t="shared" si="17"/>
        <v>1.9093617013171499E-7</v>
      </c>
      <c r="AV11" s="39">
        <f t="shared" si="18"/>
        <v>1.5707963267948966</v>
      </c>
      <c r="AW11" s="39" t="str">
        <f t="shared" si="19"/>
        <v>1+0,000598405426135582i</v>
      </c>
      <c r="AX11" s="39">
        <f t="shared" si="20"/>
        <v>1.000000179044511</v>
      </c>
      <c r="AY11" s="39">
        <f t="shared" si="21"/>
        <v>5.9840535470811963E-4</v>
      </c>
      <c r="AZ11" s="39" t="str">
        <f t="shared" si="22"/>
        <v>1+0,0413987753899253i</v>
      </c>
      <c r="BA11" s="39">
        <f t="shared" si="23"/>
        <v>1.0008565624522754</v>
      </c>
      <c r="BB11" s="39">
        <f t="shared" si="24"/>
        <v>4.1375149131281354E-2</v>
      </c>
      <c r="BC11" s="44" t="str">
        <f t="shared" si="25"/>
        <v>-3,56143061888899+87,2913370704093i</v>
      </c>
      <c r="BD11" s="39">
        <f t="shared" si="26"/>
        <v>38.826646117958447</v>
      </c>
      <c r="BE11" s="45">
        <f t="shared" si="27"/>
        <v>92.336335320684</v>
      </c>
      <c r="BF11" s="44" t="str">
        <f t="shared" si="28"/>
        <v>2282,33591433043+2486,16032437278i</v>
      </c>
      <c r="BG11" s="46">
        <f t="shared" si="29"/>
        <v>70.565256452017678</v>
      </c>
      <c r="BH11" s="45">
        <f t="shared" si="30"/>
        <v>47.447558603066028</v>
      </c>
      <c r="BI11" s="61" t="str">
        <f t="shared" si="47"/>
        <v>7148,29327449818+7868,69997311674i</v>
      </c>
      <c r="BJ11" s="46">
        <f t="shared" si="31"/>
        <v>80.531343063226117</v>
      </c>
      <c r="BK11" s="45">
        <f t="shared" si="32"/>
        <v>47.746531354619826</v>
      </c>
      <c r="BL11" s="41">
        <f t="shared" si="48"/>
        <v>70.565256452017678</v>
      </c>
      <c r="BM11" s="43">
        <f t="shared" si="49"/>
        <v>47.447558603066028</v>
      </c>
    </row>
    <row r="12" spans="1:65" ht="15.75" thickBot="1" x14ac:dyDescent="0.3">
      <c r="A12" t="s">
        <v>27</v>
      </c>
      <c r="B12" s="3">
        <f>VIN_max</f>
        <v>22</v>
      </c>
      <c r="C12" t="s">
        <v>10</v>
      </c>
      <c r="E12" t="s">
        <v>30</v>
      </c>
      <c r="N12" s="179" t="s">
        <v>226</v>
      </c>
      <c r="O12" s="58">
        <f>wz_ea/(2*PI())</f>
        <v>482.28770633907675</v>
      </c>
      <c r="P12" s="53" t="str">
        <f t="shared" si="33"/>
        <v>54,631621870174</v>
      </c>
      <c r="Q12" s="54" t="str">
        <f t="shared" si="34"/>
        <v>1+24,1553038847463i</v>
      </c>
      <c r="R12" s="54">
        <f t="shared" si="0"/>
        <v>24.175994411077276</v>
      </c>
      <c r="S12" s="54">
        <f t="shared" si="1"/>
        <v>1.5294211776636153</v>
      </c>
      <c r="T12" s="54" t="str">
        <f t="shared" si="35"/>
        <v>1+0,0606060606060606i</v>
      </c>
      <c r="U12" s="54">
        <f t="shared" si="2"/>
        <v>1.001834863928275</v>
      </c>
      <c r="V12" s="54">
        <f t="shared" si="3"/>
        <v>6.0532019782107128E-2</v>
      </c>
      <c r="W12" s="55" t="str">
        <f t="shared" si="36"/>
        <v>1-0,0120586025544703i</v>
      </c>
      <c r="X12" s="54">
        <f t="shared" si="4"/>
        <v>1.0000727023049707</v>
      </c>
      <c r="Y12" s="54">
        <f t="shared" si="5"/>
        <v>-1.2058018125412471E-2</v>
      </c>
      <c r="Z12" s="55" t="str">
        <f t="shared" si="37"/>
        <v>0,999999069594273+0,00165675446049278i</v>
      </c>
      <c r="AA12" s="54">
        <f t="shared" si="6"/>
        <v>1.0000004420122794</v>
      </c>
      <c r="AB12" s="54">
        <f t="shared" si="7"/>
        <v>1.6567544861069189E-3</v>
      </c>
      <c r="AC12" s="56" t="str">
        <f t="shared" si="8"/>
        <v>0,19941383395053-2,25525745006663i</v>
      </c>
      <c r="AD12" s="57">
        <f t="shared" si="9"/>
        <v>7.097745387486345</v>
      </c>
      <c r="AE12" s="58">
        <f t="shared" si="10"/>
        <v>-84.946947906757728</v>
      </c>
      <c r="AF12" s="41" t="str">
        <f t="shared" si="11"/>
        <v>171,265703090588</v>
      </c>
      <c r="AG12" t="str">
        <f t="shared" si="12"/>
        <v>1+23,9241372053872i</v>
      </c>
      <c r="AH12">
        <f t="shared" si="38"/>
        <v>23.945027480088473</v>
      </c>
      <c r="AI12">
        <f t="shared" si="39"/>
        <v>1.5290218535285147</v>
      </c>
      <c r="AJ12" t="str">
        <f t="shared" si="13"/>
        <v>1+0,0606060606060606i</v>
      </c>
      <c r="AK12">
        <f t="shared" si="40"/>
        <v>1.001834863928275</v>
      </c>
      <c r="AL12">
        <f t="shared" si="41"/>
        <v>6.0532019782107128E-2</v>
      </c>
      <c r="AM12" t="str">
        <f t="shared" si="14"/>
        <v>1-0,00380972911458384i</v>
      </c>
      <c r="AN12">
        <f t="shared" si="42"/>
        <v>1.0000072569916312</v>
      </c>
      <c r="AO12">
        <f t="shared" si="43"/>
        <v>-3.8097106832292679E-3</v>
      </c>
      <c r="AP12" s="41" t="str">
        <f t="shared" si="44"/>
        <v>0,704650792309069-7,1308985912331i</v>
      </c>
      <c r="AQ12">
        <f t="shared" si="45"/>
        <v>17.105087095101442</v>
      </c>
      <c r="AR12" s="43">
        <f t="shared" si="46"/>
        <v>-84.356550074852024</v>
      </c>
      <c r="AS12" s="55" t="str">
        <f t="shared" si="15"/>
        <v>-0,0000166666666666667</v>
      </c>
      <c r="AT12" s="55" t="str">
        <f t="shared" si="16"/>
        <v>4,61212121212121E-06i</v>
      </c>
      <c r="AU12" s="55">
        <f t="shared" si="17"/>
        <v>4.6121212121212101E-6</v>
      </c>
      <c r="AV12" s="55">
        <f t="shared" si="18"/>
        <v>1.5707963267948966</v>
      </c>
      <c r="AW12" s="55" t="str">
        <f t="shared" si="19"/>
        <v>1+0,0144546649145861i</v>
      </c>
      <c r="AX12" s="55">
        <f t="shared" si="20"/>
        <v>1.000104463212615</v>
      </c>
      <c r="AY12" s="55">
        <f t="shared" si="21"/>
        <v>1.4453658334368421E-2</v>
      </c>
      <c r="AZ12" s="55" t="str">
        <f t="shared" si="22"/>
        <v>1+i</v>
      </c>
      <c r="BA12" s="55">
        <f t="shared" si="23"/>
        <v>1.4142135623730951</v>
      </c>
      <c r="BB12" s="55">
        <f t="shared" si="24"/>
        <v>0.78539816339744828</v>
      </c>
      <c r="BC12" s="52" t="str">
        <f t="shared" si="25"/>
        <v>-3,56068793354074+3,66513477959127i</v>
      </c>
      <c r="BD12" s="55">
        <f t="shared" si="26"/>
        <v>14.168353389286976</v>
      </c>
      <c r="BE12" s="58">
        <f t="shared" si="27"/>
        <v>134.17186637891658</v>
      </c>
      <c r="BF12" s="52" t="str">
        <f t="shared" si="28"/>
        <v>7,55577208484278+8,76114656782383i</v>
      </c>
      <c r="BG12" s="57">
        <f t="shared" si="29"/>
        <v>21.266098776773322</v>
      </c>
      <c r="BH12" s="58">
        <f t="shared" si="30"/>
        <v>49.224918472158862</v>
      </c>
      <c r="BI12" s="61" t="str">
        <f t="shared" si="47"/>
        <v>23,626662862932+27,9735446954649i</v>
      </c>
      <c r="BJ12" s="57">
        <f t="shared" si="31"/>
        <v>31.273440484388427</v>
      </c>
      <c r="BK12" s="58">
        <f t="shared" si="32"/>
        <v>49.815316304064595</v>
      </c>
      <c r="BL12" s="41">
        <f t="shared" si="48"/>
        <v>21.266098776773322</v>
      </c>
      <c r="BM12" s="43">
        <f t="shared" si="49"/>
        <v>49.224918472158862</v>
      </c>
    </row>
    <row r="13" spans="1:65" ht="15.75" thickBot="1" x14ac:dyDescent="0.3">
      <c r="A13" t="s">
        <v>64</v>
      </c>
      <c r="B13" s="3">
        <f>Fsw</f>
        <v>1000000</v>
      </c>
      <c r="C13" t="s">
        <v>65</v>
      </c>
      <c r="E13" t="s">
        <v>66</v>
      </c>
      <c r="N13" s="180" t="s">
        <v>232</v>
      </c>
      <c r="O13" s="45">
        <f>wp1_ea/(2*PI())</f>
        <v>33365.540411276132</v>
      </c>
      <c r="P13" s="59" t="str">
        <f t="shared" si="33"/>
        <v>54,631621870174</v>
      </c>
      <c r="Q13" s="38" t="str">
        <f t="shared" si="34"/>
        <v>1+1671,10784148108i</v>
      </c>
      <c r="R13" s="38">
        <f t="shared" si="0"/>
        <v>1671.1081406837664</v>
      </c>
      <c r="S13" s="38">
        <f t="shared" si="1"/>
        <v>1.5701979214401884</v>
      </c>
      <c r="T13" s="38" t="str">
        <f t="shared" si="35"/>
        <v>1+4,19283746556474i</v>
      </c>
      <c r="U13" s="38">
        <f t="shared" si="2"/>
        <v>4.3104391902268322</v>
      </c>
      <c r="V13" s="38">
        <f t="shared" si="3"/>
        <v>1.3366682686616407</v>
      </c>
      <c r="W13" s="39" t="str">
        <f t="shared" si="36"/>
        <v>1-0,834236049450173i</v>
      </c>
      <c r="X13" s="38">
        <f t="shared" si="4"/>
        <v>1.3022863687385473</v>
      </c>
      <c r="Y13" s="38">
        <f t="shared" si="5"/>
        <v>-0.69527079022726845</v>
      </c>
      <c r="Z13" s="39" t="str">
        <f t="shared" si="37"/>
        <v>0,995546962852254+0,114617285857728i</v>
      </c>
      <c r="AA13" s="38">
        <f t="shared" si="6"/>
        <v>1.0021231847740772</v>
      </c>
      <c r="AB13" s="38">
        <f t="shared" si="7"/>
        <v>0.11462529240033574</v>
      </c>
      <c r="AC13" s="42" t="str">
        <f t="shared" si="8"/>
        <v>0,0921597701335698-0,158243983816876i</v>
      </c>
      <c r="AD13" s="46">
        <f t="shared" si="9"/>
        <v>-14.745071072528798</v>
      </c>
      <c r="AE13" s="45">
        <f t="shared" si="10"/>
        <v>-59.783890874106639</v>
      </c>
      <c r="AF13" s="44" t="str">
        <f t="shared" si="11"/>
        <v>171,265703090588</v>
      </c>
      <c r="AG13" s="39" t="str">
        <f t="shared" si="12"/>
        <v>1+1655,11531029997i</v>
      </c>
      <c r="AH13" s="39">
        <f t="shared" si="38"/>
        <v>1655.115612393698</v>
      </c>
      <c r="AI13" s="39">
        <f t="shared" si="39"/>
        <v>1.5701921393572624</v>
      </c>
      <c r="AJ13" s="39" t="str">
        <f t="shared" si="13"/>
        <v>1+4,19283746556474i</v>
      </c>
      <c r="AK13" s="39">
        <f t="shared" si="40"/>
        <v>4.3104391902268322</v>
      </c>
      <c r="AL13" s="39">
        <f t="shared" si="41"/>
        <v>1.3366682686616407</v>
      </c>
      <c r="AM13" s="39" t="str">
        <f t="shared" si="14"/>
        <v>1-0,263563986927118i</v>
      </c>
      <c r="AN13" s="39">
        <f t="shared" si="42"/>
        <v>1.0341498804355769</v>
      </c>
      <c r="AO13" s="39">
        <f t="shared" si="43"/>
        <v>-0.25770346788105453</v>
      </c>
      <c r="AP13" s="44" t="str">
        <f t="shared" si="44"/>
        <v>0,406719315354151-0,217580883303262i</v>
      </c>
      <c r="AQ13" s="39">
        <f t="shared" si="45"/>
        <v>-6.7210584962376885</v>
      </c>
      <c r="AR13" s="45">
        <f t="shared" si="46"/>
        <v>-28.145253281887474</v>
      </c>
      <c r="AS13" s="39" t="str">
        <f t="shared" si="15"/>
        <v>-0,0000166666666666667</v>
      </c>
      <c r="AT13" s="39" t="str">
        <f t="shared" si="16"/>
        <v>0,000319074931129477i</v>
      </c>
      <c r="AU13" s="39">
        <f t="shared" si="17"/>
        <v>3.1907493112947699E-4</v>
      </c>
      <c r="AV13" s="39">
        <f t="shared" si="18"/>
        <v>1.5707963267948966</v>
      </c>
      <c r="AW13" s="39" t="str">
        <f t="shared" si="19"/>
        <v>1+i</v>
      </c>
      <c r="AX13" s="39">
        <f t="shared" si="20"/>
        <v>1.4142135623730951</v>
      </c>
      <c r="AY13" s="39">
        <f t="shared" si="21"/>
        <v>0.78539816339744828</v>
      </c>
      <c r="AZ13" s="39" t="str">
        <f t="shared" si="22"/>
        <v>1+69,1818181818182i</v>
      </c>
      <c r="BA13" s="39">
        <f t="shared" si="23"/>
        <v>69.189045136800019</v>
      </c>
      <c r="BB13" s="39">
        <f t="shared" si="24"/>
        <v>1.5563426684605282</v>
      </c>
      <c r="BC13" s="44" t="str">
        <f t="shared" si="25"/>
        <v>-1,78071594709914+1,83295028154739i</v>
      </c>
      <c r="BD13" s="39">
        <f t="shared" si="26"/>
        <v>8.1495680931006689</v>
      </c>
      <c r="BE13" s="45">
        <f t="shared" si="27"/>
        <v>134.17186637891646</v>
      </c>
      <c r="BF13" s="44" t="str">
        <f t="shared" si="28"/>
        <v>0,125942982332485+0,450711862128879i</v>
      </c>
      <c r="BG13" s="46">
        <f t="shared" si="29"/>
        <v>-6.595502979428125</v>
      </c>
      <c r="BH13" s="45">
        <f t="shared" si="30"/>
        <v>74.387975504809816</v>
      </c>
      <c r="BI13" s="61" t="str">
        <f t="shared" si="47"/>
        <v>-0,325436629534337+1,13294603227119i</v>
      </c>
      <c r="BJ13" s="46">
        <f t="shared" si="31"/>
        <v>1.4285095968629904</v>
      </c>
      <c r="BK13" s="45">
        <f t="shared" si="32"/>
        <v>106.02661309702897</v>
      </c>
      <c r="BL13" s="44">
        <f t="shared" si="48"/>
        <v>-6.595502979428125</v>
      </c>
      <c r="BM13" s="45">
        <f t="shared" si="49"/>
        <v>74.387975504809816</v>
      </c>
    </row>
    <row r="15" spans="1:65" ht="15.75" thickBot="1" x14ac:dyDescent="0.3">
      <c r="A15" s="49" t="s">
        <v>456</v>
      </c>
      <c r="O15" s="34" t="s">
        <v>196</v>
      </c>
      <c r="P15">
        <f>B16</f>
        <v>11</v>
      </c>
      <c r="Q15" t="s">
        <v>10</v>
      </c>
    </row>
    <row r="16" spans="1:65" ht="15.75" thickBot="1" x14ac:dyDescent="0.3">
      <c r="A16" t="s">
        <v>198</v>
      </c>
      <c r="B16">
        <f>VIN_var</f>
        <v>11</v>
      </c>
      <c r="C16" t="s">
        <v>10</v>
      </c>
      <c r="E16" t="s">
        <v>199</v>
      </c>
      <c r="O16" s="48"/>
      <c r="P16" s="225" t="s">
        <v>454</v>
      </c>
      <c r="Q16" s="225"/>
      <c r="R16" s="225"/>
      <c r="S16" s="225"/>
      <c r="T16" s="225"/>
      <c r="U16" s="225"/>
      <c r="V16" s="225"/>
      <c r="W16" s="225"/>
      <c r="X16" s="225"/>
      <c r="Y16" s="225"/>
      <c r="Z16" s="225"/>
      <c r="AA16" s="225"/>
      <c r="AB16" s="225"/>
      <c r="AC16" s="225"/>
      <c r="AD16" s="225"/>
      <c r="AE16" s="226"/>
      <c r="AF16" s="224" t="s">
        <v>455</v>
      </c>
      <c r="AG16" s="225"/>
      <c r="AH16" s="225"/>
      <c r="AI16" s="225"/>
      <c r="AJ16" s="225"/>
      <c r="AK16" s="225"/>
      <c r="AL16" s="225"/>
      <c r="AM16" s="225"/>
      <c r="AN16" s="225"/>
      <c r="AO16" s="225"/>
      <c r="AP16" s="225"/>
      <c r="AQ16" s="225"/>
      <c r="AR16" s="226"/>
      <c r="AS16" s="224" t="s">
        <v>225</v>
      </c>
      <c r="AT16" s="225"/>
      <c r="AU16" s="225"/>
      <c r="AV16" s="225"/>
      <c r="AW16" s="225"/>
      <c r="AX16" s="225"/>
      <c r="AY16" s="225"/>
      <c r="AZ16" s="225"/>
      <c r="BA16" s="225"/>
      <c r="BB16" s="225"/>
      <c r="BC16" s="225"/>
      <c r="BD16" s="225"/>
      <c r="BE16" s="226"/>
      <c r="BF16" s="224" t="s">
        <v>484</v>
      </c>
      <c r="BG16" s="225"/>
      <c r="BH16" s="226"/>
      <c r="BI16" s="224" t="s">
        <v>485</v>
      </c>
      <c r="BJ16" s="225"/>
      <c r="BK16" s="226"/>
      <c r="BL16" s="224" t="s">
        <v>486</v>
      </c>
      <c r="BM16" s="226"/>
    </row>
    <row r="17" spans="1:65" x14ac:dyDescent="0.25">
      <c r="A17" t="s">
        <v>382</v>
      </c>
      <c r="B17">
        <f>IOUT</f>
        <v>6</v>
      </c>
      <c r="C17" t="s">
        <v>11</v>
      </c>
      <c r="E17" t="s">
        <v>477</v>
      </c>
      <c r="O17" s="36"/>
      <c r="Q17" s="227" t="s">
        <v>217</v>
      </c>
      <c r="R17" s="227"/>
      <c r="S17" s="227"/>
      <c r="T17" s="223" t="s">
        <v>219</v>
      </c>
      <c r="U17" s="223"/>
      <c r="V17" s="223"/>
      <c r="W17" s="223" t="s">
        <v>258</v>
      </c>
      <c r="X17" s="223"/>
      <c r="Y17" s="223"/>
      <c r="Z17" s="223" t="s">
        <v>222</v>
      </c>
      <c r="AA17" s="223"/>
      <c r="AB17" s="223"/>
      <c r="AC17" s="231" t="s">
        <v>224</v>
      </c>
      <c r="AD17" s="223"/>
      <c r="AE17" s="232"/>
      <c r="AF17" s="153"/>
      <c r="AG17" s="227" t="s">
        <v>217</v>
      </c>
      <c r="AH17" s="227"/>
      <c r="AI17" s="227"/>
      <c r="AJ17" s="228" t="s">
        <v>219</v>
      </c>
      <c r="AK17" s="228"/>
      <c r="AL17" s="228"/>
      <c r="AM17" s="223" t="s">
        <v>258</v>
      </c>
      <c r="AN17" s="223"/>
      <c r="AO17" s="223"/>
      <c r="AP17" s="229" t="s">
        <v>224</v>
      </c>
      <c r="AQ17" s="228"/>
      <c r="AR17" s="230"/>
      <c r="AT17" s="223" t="s">
        <v>231</v>
      </c>
      <c r="AU17" s="223"/>
      <c r="AV17" s="223"/>
      <c r="AW17" s="223" t="s">
        <v>232</v>
      </c>
      <c r="AX17" s="223"/>
      <c r="AY17" s="223"/>
      <c r="AZ17" s="223" t="s">
        <v>226</v>
      </c>
      <c r="BA17" s="223"/>
      <c r="BB17" s="223"/>
      <c r="BC17" s="231" t="s">
        <v>224</v>
      </c>
      <c r="BD17" s="223"/>
      <c r="BE17" s="232"/>
      <c r="BF17" s="231" t="s">
        <v>224</v>
      </c>
      <c r="BG17" s="223"/>
      <c r="BH17" s="232"/>
      <c r="BI17" s="231" t="s">
        <v>224</v>
      </c>
      <c r="BJ17" s="223"/>
      <c r="BK17" s="232"/>
      <c r="BM17" s="43"/>
    </row>
    <row r="18" spans="1:65" ht="15.75" thickBot="1" x14ac:dyDescent="0.3">
      <c r="N18" s="9"/>
      <c r="O18" s="37" t="s">
        <v>195</v>
      </c>
      <c r="P18" s="38" t="s">
        <v>200</v>
      </c>
      <c r="Q18" s="39" t="s">
        <v>223</v>
      </c>
      <c r="R18" s="38" t="s">
        <v>220</v>
      </c>
      <c r="S18" s="38" t="s">
        <v>221</v>
      </c>
      <c r="T18" s="38" t="s">
        <v>223</v>
      </c>
      <c r="U18" s="38" t="s">
        <v>220</v>
      </c>
      <c r="V18" s="38" t="s">
        <v>221</v>
      </c>
      <c r="W18" s="38" t="s">
        <v>223</v>
      </c>
      <c r="X18" s="38" t="s">
        <v>220</v>
      </c>
      <c r="Y18" s="38" t="s">
        <v>221</v>
      </c>
      <c r="Z18" s="38" t="s">
        <v>223</v>
      </c>
      <c r="AA18" s="38" t="s">
        <v>220</v>
      </c>
      <c r="AB18" s="38" t="s">
        <v>221</v>
      </c>
      <c r="AC18" s="42" t="s">
        <v>235</v>
      </c>
      <c r="AD18" s="38" t="s">
        <v>220</v>
      </c>
      <c r="AE18" s="40" t="s">
        <v>221</v>
      </c>
      <c r="AF18" s="156" t="s">
        <v>200</v>
      </c>
      <c r="AG18" s="156" t="s">
        <v>223</v>
      </c>
      <c r="AH18" s="156" t="s">
        <v>234</v>
      </c>
      <c r="AI18" s="156" t="s">
        <v>221</v>
      </c>
      <c r="AJ18" s="156" t="s">
        <v>223</v>
      </c>
      <c r="AK18" s="156" t="s">
        <v>234</v>
      </c>
      <c r="AL18" s="156" t="s">
        <v>221</v>
      </c>
      <c r="AM18" s="156" t="s">
        <v>223</v>
      </c>
      <c r="AN18" s="156" t="s">
        <v>234</v>
      </c>
      <c r="AO18" s="156" t="s">
        <v>221</v>
      </c>
      <c r="AP18" s="42" t="s">
        <v>235</v>
      </c>
      <c r="AQ18" s="38" t="s">
        <v>220</v>
      </c>
      <c r="AR18" s="40" t="s">
        <v>221</v>
      </c>
      <c r="AS18" s="38" t="s">
        <v>233</v>
      </c>
      <c r="AT18" s="38" t="s">
        <v>223</v>
      </c>
      <c r="AU18" s="38" t="s">
        <v>234</v>
      </c>
      <c r="AV18" s="38" t="s">
        <v>221</v>
      </c>
      <c r="AW18" s="38" t="s">
        <v>223</v>
      </c>
      <c r="AX18" s="38" t="s">
        <v>234</v>
      </c>
      <c r="AY18" s="38" t="s">
        <v>221</v>
      </c>
      <c r="AZ18" s="38" t="s">
        <v>223</v>
      </c>
      <c r="BA18" s="38" t="s">
        <v>234</v>
      </c>
      <c r="BB18" s="38" t="s">
        <v>221</v>
      </c>
      <c r="BC18" s="42" t="s">
        <v>235</v>
      </c>
      <c r="BD18" s="38" t="s">
        <v>220</v>
      </c>
      <c r="BE18" s="40" t="s">
        <v>221</v>
      </c>
      <c r="BF18" s="42" t="s">
        <v>235</v>
      </c>
      <c r="BG18" s="38" t="s">
        <v>220</v>
      </c>
      <c r="BH18" s="40" t="s">
        <v>221</v>
      </c>
      <c r="BI18" s="42" t="s">
        <v>235</v>
      </c>
      <c r="BJ18" s="38" t="s">
        <v>220</v>
      </c>
      <c r="BK18" s="40" t="s">
        <v>221</v>
      </c>
      <c r="BL18" s="4" t="s">
        <v>487</v>
      </c>
      <c r="BM18" s="60" t="s">
        <v>488</v>
      </c>
    </row>
    <row r="19" spans="1:65" x14ac:dyDescent="0.25">
      <c r="A19" t="s">
        <v>31</v>
      </c>
      <c r="B19" s="29">
        <f>VOUT</f>
        <v>53.5</v>
      </c>
      <c r="C19" t="s">
        <v>10</v>
      </c>
      <c r="E19" t="s">
        <v>173</v>
      </c>
      <c r="N19" s="9">
        <v>1</v>
      </c>
      <c r="O19" s="34">
        <f>10^(1+(N19/100))</f>
        <v>10.232929922807543</v>
      </c>
      <c r="P19" s="33" t="str">
        <f t="shared" ref="P19:P82" si="50">COMPLEX(Adc,0)</f>
        <v>54,631621870174</v>
      </c>
      <c r="Q19" s="4" t="str">
        <f>IMSUM(COMPLEX(1,0),IMDIV(COMPLEX(0,2*PI()*O19),COMPLEX(wp_lf,0)))</f>
        <v>1+0,512514685047658i</v>
      </c>
      <c r="R19" s="4">
        <f>IMABS(Q19)</f>
        <v>1.1236864786894518</v>
      </c>
      <c r="S19" s="4">
        <f>IMARGUMENT(Q19)</f>
        <v>0.47360915960581457</v>
      </c>
      <c r="T19" s="4" t="str">
        <f t="shared" ref="T19:T82" si="51">IMSUM(COMPLEX(1,0),IMDIV(COMPLEX(0,2*PI()*O19),COMPLEX(wz_esr,0)))</f>
        <v>1+0,00128590789880765i</v>
      </c>
      <c r="U19" s="4">
        <f>IMABS(T19)</f>
        <v>1.0000008267792204</v>
      </c>
      <c r="V19" s="4">
        <f>IMARGUMENT(T19)</f>
        <v>1.2859071900334401E-3</v>
      </c>
      <c r="W19" t="str">
        <f t="shared" ref="W19:W82" si="52">IMSUB(COMPLEX(1,0),IMDIV(COMPLEX(0,2*PI()*O19),COMPLEX(wz_rhp,0)))</f>
        <v>1-0,000255853162510696i</v>
      </c>
      <c r="X19" s="4">
        <f>IMABS(W19)</f>
        <v>1.0000000327304199</v>
      </c>
      <c r="Y19" s="4">
        <f>IMARGUMENT(W19)</f>
        <v>-2.558531569279085E-4</v>
      </c>
      <c r="Z19" t="str">
        <f t="shared" ref="Z19:Z82" si="53">IMSUM(COMPLEX(1,0),IMDIV(COMPLEX(0,2*PI()*O19),COMPLEX(Q*(wsl/2),0)),IMDIV(IMPOWER(COMPLEX(0,2*PI()*O19),2),IMPOWER(COMPLEX(wsl/2,0),2)))</f>
        <v>0,999999999581149+0,0000351521551776859i</v>
      </c>
      <c r="AA19" s="4">
        <f>IMABS(Z19)</f>
        <v>1.0000000001989859</v>
      </c>
      <c r="AB19" s="4">
        <f>IMARGUMENT(Z19)</f>
        <v>3.5152155177930542E-5</v>
      </c>
      <c r="AC19" s="47" t="str">
        <f>(IMDIV(IMPRODUCT(P19,T19,W19),IMPRODUCT(Q19,Z19)))</f>
        <v>43,2887786846464-22,131781632727i</v>
      </c>
      <c r="AD19" s="20">
        <f>20*LOG(IMABS(AC19))</f>
        <v>33.735986238707127</v>
      </c>
      <c r="AE19" s="43">
        <f>(180/PI())*IMARGUMENT(AC19)</f>
        <v>-27.078802305516099</v>
      </c>
      <c r="AF19" t="str">
        <f t="shared" ref="AF19:AF82" si="54">COMPLEX($B$72,0)</f>
        <v>171,265703090588</v>
      </c>
      <c r="AG19" t="str">
        <f t="shared" ref="AG19:AG82" si="55">IMSUM(COMPLEX(1,0),IMDIV(COMPLEX(0,2*PI()*O19),COMPLEX(wp_lf_DCM,0)))</f>
        <v>1+0,50760991057533i</v>
      </c>
      <c r="AH19">
        <f>IMABS(AG19)</f>
        <v>1.1214578999295044</v>
      </c>
      <c r="AI19">
        <f>IMARGUMENT(AG19)</f>
        <v>0.46971698773472087</v>
      </c>
      <c r="AJ19" t="str">
        <f t="shared" ref="AJ19:AJ82" si="56">IMSUM(COMPLEX(1,0),IMDIV(COMPLEX(0,2*PI()*O19),COMPLEX(wz1_dcm,0)))</f>
        <v>1+0,00128590789880765i</v>
      </c>
      <c r="AK19">
        <f>IMABS(AJ19)</f>
        <v>1.0000008267792204</v>
      </c>
      <c r="AL19">
        <f>IMARGUMENT(AJ19)</f>
        <v>1.2859071900334401E-3</v>
      </c>
      <c r="AM19" t="str">
        <f t="shared" ref="AM19:AM82" si="57">IMSUB(COMPLEX(1,0),IMDIV(COMPLEX(0,2*PI()*O19),COMPLEX(wz2_dcm,0)))</f>
        <v>1-0,000080832852552554i</v>
      </c>
      <c r="AN19">
        <f>IMABS(AM19)</f>
        <v>1.0000000032669749</v>
      </c>
      <c r="AO19">
        <f>IMARGUMENT(AM19)</f>
        <v>-8.08328523765014E-5</v>
      </c>
      <c r="AP19" s="41" t="str">
        <f>(IMDIV(IMPRODUCT(AF19,AJ19,AM19),IMPRODUCT(AG19)))</f>
        <v>136,260531274806-68,9608080702774i</v>
      </c>
      <c r="AQ19">
        <f>20*LOG(IMABS(AP19))</f>
        <v>43.677755753422041</v>
      </c>
      <c r="AR19" s="43">
        <f>(180/PI())*IMARGUMENT(AP19)</f>
        <v>-26.843755289250481</v>
      </c>
      <c r="AS19" t="str">
        <f t="shared" ref="AS19:AS82" si="58">COMPLEX(Adc_ea,0)</f>
        <v>-0,0000166666666666667</v>
      </c>
      <c r="AT19" t="str">
        <f t="shared" ref="AT19:AT82" si="59">COMPLEX(0,2*PI()*O19*wp0_ea)</f>
        <v>9,78575910992625E-08i</v>
      </c>
      <c r="AU19">
        <f>IMABS(AT19)</f>
        <v>9.7857591099262495E-8</v>
      </c>
      <c r="AV19">
        <f>IMARGUMENT(AT19)</f>
        <v>1.5707963267948966</v>
      </c>
      <c r="AW19" t="str">
        <f t="shared" ref="AW19:AW82" si="60">IMSUM(COMPLEX(1,0),IMDIV(COMPLEX(0,2*PI()*O19),COMPLEX(wp1_ea,0)))</f>
        <v>1+0,000306691568506687i</v>
      </c>
      <c r="AX19">
        <f>IMABS(AW19)</f>
        <v>1.000000047029858</v>
      </c>
      <c r="AY19">
        <f>IMARGUMENT(AW19)</f>
        <v>3.0669155889091336E-4</v>
      </c>
      <c r="AZ19" t="str">
        <f t="shared" ref="AZ19:AZ82" si="61">IMSUM(COMPLEX(1,0),IMDIV(COMPLEX(0,2*PI()*O19),COMPLEX(wz_ea,0)))</f>
        <v>1+0,0212174803303263i</v>
      </c>
      <c r="BA19">
        <f>IMABS(AZ19)</f>
        <v>1.0002250654085649</v>
      </c>
      <c r="BB19">
        <f>IMARGUMENT(AZ19)</f>
        <v>2.1214297284544995E-2</v>
      </c>
      <c r="BC19" s="41" t="str">
        <f>IMPRODUCT(AS19,IMDIV(AZ19,IMPRODUCT(AT19,AW19)))</f>
        <v>-3,56143155921104+170,316613820935i</v>
      </c>
      <c r="BD19">
        <f>20*LOG(IMABS(BC19))</f>
        <v>44.62703884132133</v>
      </c>
      <c r="BE19" s="43">
        <f>(180/PI())*IMARGUMENT(BC19)</f>
        <v>91.197917567803529</v>
      </c>
      <c r="BF19" s="41" t="str">
        <f>IMPRODUCT(AC19,BC19)</f>
        <v>3615,24008294322+7451,61902758121i</v>
      </c>
      <c r="BG19" s="20">
        <f>20*LOG(IMABS(BF19))</f>
        <v>78.363025080028464</v>
      </c>
      <c r="BH19" s="43">
        <f>(180/PI())*IMARGUMENT(BF19)</f>
        <v>64.119115262287494</v>
      </c>
      <c r="BI19" s="41" t="str">
        <f>IMPRODUCT(AP19,BC19)</f>
        <v>11259,8887605281+23453,0314823768i</v>
      </c>
      <c r="BJ19" s="20">
        <f>20*LOG(IMABS(BI19))</f>
        <v>88.304794594743385</v>
      </c>
      <c r="BK19" s="43">
        <f>(180/PI())*IMARGUMENT(BI19)</f>
        <v>64.35416227855309</v>
      </c>
      <c r="BL19">
        <f>IF($B$31=0,BJ19,BG19)</f>
        <v>78.363025080028464</v>
      </c>
      <c r="BM19" s="43">
        <f>IF($B$31=0,BK19,BH19)</f>
        <v>64.119115262287494</v>
      </c>
    </row>
    <row r="20" spans="1:65" x14ac:dyDescent="0.25">
      <c r="A20" t="s">
        <v>33</v>
      </c>
      <c r="B20" s="29">
        <f>IOUT</f>
        <v>6</v>
      </c>
      <c r="C20" t="s">
        <v>11</v>
      </c>
      <c r="E20" t="s">
        <v>34</v>
      </c>
      <c r="N20" s="9">
        <v>2</v>
      </c>
      <c r="O20" s="34">
        <f t="shared" ref="O20:O83" si="62">10^(1+(N20/100))</f>
        <v>10.471285480509</v>
      </c>
      <c r="P20" s="33" t="str">
        <f t="shared" si="50"/>
        <v>54,631621870174</v>
      </c>
      <c r="Q20" s="4" t="str">
        <f t="shared" ref="Q20:Q82" si="63">IMSUM(COMPLEX(1,0),IMDIV(COMPLEX(0,2*PI()*O20),COMPLEX(wp_lf,0)))</f>
        <v>1+0,524452685650247i</v>
      </c>
      <c r="R20" s="4">
        <f t="shared" ref="R20:R83" si="64">IMABS(Q20)</f>
        <v>1.1291813935261938</v>
      </c>
      <c r="S20" s="4">
        <f t="shared" ref="S20:S83" si="65">IMARGUMENT(Q20)</f>
        <v>0.48301784908991119</v>
      </c>
      <c r="T20" s="4" t="str">
        <f t="shared" si="51"/>
        <v>1+0,00131586054156834i</v>
      </c>
      <c r="U20" s="4">
        <f t="shared" ref="U20:U83" si="66">IMABS(T20)</f>
        <v>1.0000008657441077</v>
      </c>
      <c r="V20" s="4">
        <f t="shared" ref="V20:V83" si="67">IMARGUMENT(T20)</f>
        <v>1.3158597821031266E-3</v>
      </c>
      <c r="W20" t="str">
        <f t="shared" si="52"/>
        <v>1-0,000261812748250064i</v>
      </c>
      <c r="X20" s="4">
        <f t="shared" ref="X20:X83" si="68">IMABS(W20)</f>
        <v>1.0000000342729569</v>
      </c>
      <c r="Y20" s="4">
        <f t="shared" ref="Y20:Y83" si="69">IMARGUMENT(W20)</f>
        <v>-2.6181274226799945E-4</v>
      </c>
      <c r="Z20" t="str">
        <f t="shared" si="53"/>
        <v>0,999999999561409+0,0000359709540568916i</v>
      </c>
      <c r="AA20" s="4">
        <f t="shared" ref="AA20:AA83" si="70">IMABS(Z20)</f>
        <v>1.0000000002083635</v>
      </c>
      <c r="AB20" s="4">
        <f t="shared" ref="AB20:AB83" si="71">IMARGUMENT(Z20)</f>
        <v>3.5970954057153751E-5</v>
      </c>
      <c r="AC20" s="47" t="str">
        <f t="shared" ref="AC20:AC83" si="72">(IMDIV(IMPRODUCT(P20,T20,W20),IMPRODUCT(Q20,Z20)))</f>
        <v>42,8695233845425-22,4274174833776i</v>
      </c>
      <c r="AD20" s="20">
        <f t="shared" ref="AD20:AD83" si="73">20*LOG(IMABS(AC20))</f>
        <v>33.693615425183509</v>
      </c>
      <c r="AE20" s="43">
        <f t="shared" ref="AE20:AE83" si="74">(180/PI())*IMARGUMENT(AC20)</f>
        <v>-27.61655271940063</v>
      </c>
      <c r="AF20" t="str">
        <f t="shared" si="54"/>
        <v>171,265703090588</v>
      </c>
      <c r="AG20" t="str">
        <f t="shared" si="55"/>
        <v>1+0,519433664303995i</v>
      </c>
      <c r="AH20">
        <f t="shared" ref="AH20:AH83" si="75">IMABS(AG20)</f>
        <v>1.1268590557883782</v>
      </c>
      <c r="AI20">
        <f t="shared" ref="AI20:AI83" si="76">IMARGUMENT(AG20)</f>
        <v>0.47907339544617022</v>
      </c>
      <c r="AJ20" t="str">
        <f t="shared" si="56"/>
        <v>1+0,00131586054156834i</v>
      </c>
      <c r="AK20">
        <f t="shared" ref="AK20:AK83" si="77">IMABS(AJ20)</f>
        <v>1.0000008657441077</v>
      </c>
      <c r="AL20">
        <f t="shared" ref="AL20:AL83" si="78">IMARGUMENT(AJ20)</f>
        <v>1.3158597821031266E-3</v>
      </c>
      <c r="AM20" t="str">
        <f t="shared" si="57"/>
        <v>1-0,000082715691563092i</v>
      </c>
      <c r="AN20">
        <f t="shared" ref="AN20:AN83" si="79">IMABS(AM20)</f>
        <v>1.0000000034209429</v>
      </c>
      <c r="AO20">
        <f t="shared" ref="AO20:AO83" si="80">IMARGUMENT(AM20)</f>
        <v>-8.2715691374448235E-5</v>
      </c>
      <c r="AP20" s="41" t="str">
        <f t="shared" ref="AP20:AP83" si="81">(IMDIV(IMPRODUCT(AF20,AJ20,AM20),IMPRODUCT(AG20)))</f>
        <v>134,961328093295-69,8922617710853i</v>
      </c>
      <c r="AQ20">
        <f t="shared" ref="AQ20:AQ83" si="82">20*LOG(IMABS(AP20))</f>
        <v>43.636023601850901</v>
      </c>
      <c r="AR20" s="43">
        <f t="shared" ref="AR20:AR83" si="83">(180/PI())*IMARGUMENT(AP20)</f>
        <v>-27.378229684137235</v>
      </c>
      <c r="AS20" t="str">
        <f t="shared" si="58"/>
        <v>-0,0000166666666666667</v>
      </c>
      <c r="AT20" t="str">
        <f t="shared" si="59"/>
        <v>1,00136987213351E-07i</v>
      </c>
      <c r="AU20">
        <f t="shared" ref="AU20:AU83" si="84">IMABS(AT20)</f>
        <v>1.00136987213351E-7</v>
      </c>
      <c r="AV20">
        <f t="shared" ref="AV20:AV83" si="85">IMARGUMENT(AT20)</f>
        <v>1.5707963267948966</v>
      </c>
      <c r="AW20" t="str">
        <f t="shared" si="60"/>
        <v>1+0,000313835332844486i</v>
      </c>
      <c r="AX20">
        <f t="shared" ref="AX20:AX83" si="86">IMABS(AW20)</f>
        <v>1.0000000492463068</v>
      </c>
      <c r="AY20">
        <f t="shared" ref="AY20:AY83" si="87">IMARGUMENT(AW20)</f>
        <v>3.1383532254099895E-4</v>
      </c>
      <c r="AZ20" t="str">
        <f t="shared" si="61"/>
        <v>1+0,0217116989358776i</v>
      </c>
      <c r="BA20">
        <f t="shared" ref="BA20:BA83" si="88">IMABS(AZ20)</f>
        <v>1.0002356711648921</v>
      </c>
      <c r="BB20">
        <f t="shared" ref="BB20:BB83" si="89">IMARGUMENT(AZ20)</f>
        <v>2.1708288284274228E-2</v>
      </c>
      <c r="BC20" s="41" t="str">
        <f t="shared" ref="BC20:BC83" si="90">IMPRODUCT(AS20,IMDIV(AZ20,IMPRODUCT(AT20,AW20)))</f>
        <v>-3,56143154342356+166,439784677894i</v>
      </c>
      <c r="BD20">
        <f t="shared" ref="BD20:BD83" si="91">20*LOG(IMABS(BC20))</f>
        <v>44.427130921281758</v>
      </c>
      <c r="BE20" s="43">
        <f t="shared" ref="BE20:BE83" si="92">(180/PI())*IMARGUMENT(BC20)</f>
        <v>91.225811859698467</v>
      </c>
      <c r="BF20" s="41" t="str">
        <f t="shared" ref="BF20:BF83" si="93">IMPRODUCT(AC20,BC20)</f>
        <v>3580,13766398136+7215,06795343003i</v>
      </c>
      <c r="BG20" s="20">
        <f t="shared" ref="BG20:BG83" si="94">20*LOG(IMABS(BF20))</f>
        <v>78.120746346465268</v>
      </c>
      <c r="BH20" s="43">
        <f t="shared" ref="BH20:BH83" si="95">(180/PI())*IMARGUMENT(BF20)</f>
        <v>63.609259140297851</v>
      </c>
      <c r="BI20" s="41" t="str">
        <f t="shared" ref="BI20:BI49" si="96">IMPRODUCT(AP20,BC20)</f>
        <v>11152,1974688166+22711,8508934034i</v>
      </c>
      <c r="BJ20" s="20">
        <f t="shared" ref="BJ20:BJ83" si="97">20*LOG(IMABS(BI20))</f>
        <v>88.063154523132653</v>
      </c>
      <c r="BK20" s="43">
        <f t="shared" ref="BK20:BK49" si="98">(180/PI())*IMARGUMENT(BI20)</f>
        <v>63.847582175561342</v>
      </c>
      <c r="BL20">
        <f t="shared" ref="BL20:BL83" si="99">IF($B$31=0,BJ20,BG20)</f>
        <v>78.120746346465268</v>
      </c>
      <c r="BM20" s="43">
        <f t="shared" ref="BM20:BM83" si="100">IF($B$31=0,BK20,BH20)</f>
        <v>63.609259140297851</v>
      </c>
    </row>
    <row r="21" spans="1:65" x14ac:dyDescent="0.25">
      <c r="N21" s="9">
        <v>3</v>
      </c>
      <c r="O21" s="34">
        <f t="shared" si="62"/>
        <v>10.715193052376069</v>
      </c>
      <c r="P21" s="33" t="str">
        <f t="shared" si="50"/>
        <v>54,631621870174</v>
      </c>
      <c r="Q21" s="4" t="str">
        <f t="shared" si="63"/>
        <v>1+0,536668758008719i</v>
      </c>
      <c r="R21" s="4">
        <f t="shared" si="64"/>
        <v>1.1349067608498158</v>
      </c>
      <c r="S21" s="4">
        <f t="shared" si="65"/>
        <v>0.49255051291220509</v>
      </c>
      <c r="T21" s="4" t="str">
        <f t="shared" si="51"/>
        <v>1+0,00134651087100564i</v>
      </c>
      <c r="U21" s="4">
        <f t="shared" si="66"/>
        <v>1.0000009065453519</v>
      </c>
      <c r="V21" s="4">
        <f t="shared" si="67"/>
        <v>1.3465100572240421E-3</v>
      </c>
      <c r="W21" t="str">
        <f t="shared" si="52"/>
        <v>1-0,000267911150574056i</v>
      </c>
      <c r="X21" s="4">
        <f t="shared" si="68"/>
        <v>1.0000000358881918</v>
      </c>
      <c r="Y21" s="4">
        <f t="shared" si="69"/>
        <v>-2.6791114416415833E-4</v>
      </c>
      <c r="Z21" t="str">
        <f t="shared" si="53"/>
        <v>0,999999999540739+0,0000368088252120701i</v>
      </c>
      <c r="AA21" s="4">
        <f t="shared" si="70"/>
        <v>1.0000000002181837</v>
      </c>
      <c r="AB21" s="4">
        <f t="shared" si="71"/>
        <v>3.6808825212350991E-5</v>
      </c>
      <c r="AC21" s="47" t="str">
        <f t="shared" si="72"/>
        <v>42,4391469282951-22,7188495474796i</v>
      </c>
      <c r="AD21" s="20">
        <f t="shared" si="73"/>
        <v>33.649686395617252</v>
      </c>
      <c r="AE21" s="43">
        <f t="shared" si="74"/>
        <v>-28.161375411701101</v>
      </c>
      <c r="AF21" t="str">
        <f t="shared" si="54"/>
        <v>171,265703090588</v>
      </c>
      <c r="AG21" t="str">
        <f t="shared" si="55"/>
        <v>1+0,531532828636992i</v>
      </c>
      <c r="AH21">
        <f t="shared" si="75"/>
        <v>1.1324871513261605</v>
      </c>
      <c r="AI21">
        <f t="shared" si="76"/>
        <v>0.48855450138845369</v>
      </c>
      <c r="AJ21" t="str">
        <f t="shared" si="56"/>
        <v>1+0,00134651087100564i</v>
      </c>
      <c r="AK21">
        <f t="shared" si="77"/>
        <v>1.0000009065453519</v>
      </c>
      <c r="AL21">
        <f t="shared" si="78"/>
        <v>1.3465100572240421E-3</v>
      </c>
      <c r="AM21" t="str">
        <f t="shared" si="57"/>
        <v>1-0,0000846423875281683i</v>
      </c>
      <c r="AN21">
        <f t="shared" si="79"/>
        <v>1.0000000035821668</v>
      </c>
      <c r="AO21">
        <f t="shared" si="80"/>
        <v>-8.4642387326032853E-5</v>
      </c>
      <c r="AP21" s="41" t="str">
        <f t="shared" si="81"/>
        <v>133,627264729183-70,8111632114961i</v>
      </c>
      <c r="AQ21">
        <f t="shared" si="82"/>
        <v>43.592750272830322</v>
      </c>
      <c r="AR21" s="43">
        <f t="shared" si="83"/>
        <v>-27.919811299887527</v>
      </c>
      <c r="AS21" t="str">
        <f t="shared" si="58"/>
        <v>-0,0000166666666666667</v>
      </c>
      <c r="AT21" t="str">
        <f t="shared" si="59"/>
        <v>1,02469477283529E-07i</v>
      </c>
      <c r="AU21">
        <f t="shared" si="84"/>
        <v>1.0246947728352901E-7</v>
      </c>
      <c r="AV21">
        <f t="shared" si="85"/>
        <v>1.5707963267948966</v>
      </c>
      <c r="AW21" t="str">
        <f t="shared" si="60"/>
        <v>1+0,000321145496829861i</v>
      </c>
      <c r="AX21">
        <f t="shared" si="86"/>
        <v>1.0000000515672138</v>
      </c>
      <c r="AY21">
        <f t="shared" si="87"/>
        <v>3.2114548578947576E-4</v>
      </c>
      <c r="AZ21" t="str">
        <f t="shared" si="61"/>
        <v>1+0,0222174293715931i</v>
      </c>
      <c r="BA21">
        <f t="shared" si="88"/>
        <v>1.0002467766345873</v>
      </c>
      <c r="BB21">
        <f t="shared" si="89"/>
        <v>2.2213774841251584E-2</v>
      </c>
      <c r="BC21" s="41" t="str">
        <f t="shared" si="90"/>
        <v>-3,56143152689209+162,65120411178i</v>
      </c>
      <c r="BD21">
        <f t="shared" si="91"/>
        <v>44.227227338743731</v>
      </c>
      <c r="BE21" s="43">
        <f t="shared" si="92"/>
        <v>91.254355264512185</v>
      </c>
      <c r="BF21" s="41" t="str">
        <f t="shared" si="93"/>
        <v>3544,10411908709+6983,68997639706i</v>
      </c>
      <c r="BG21" s="20">
        <f t="shared" si="94"/>
        <v>77.876913734360983</v>
      </c>
      <c r="BH21" s="43">
        <f t="shared" si="95"/>
        <v>63.092979852811091</v>
      </c>
      <c r="BI21" s="41" t="str">
        <f t="shared" si="96"/>
        <v>11041,6166074468+21986,8246194825i</v>
      </c>
      <c r="BJ21" s="20">
        <f t="shared" si="97"/>
        <v>87.81997761157406</v>
      </c>
      <c r="BK21" s="43">
        <f t="shared" si="98"/>
        <v>63.334543964624544</v>
      </c>
      <c r="BL21">
        <f t="shared" si="99"/>
        <v>77.876913734360983</v>
      </c>
      <c r="BM21" s="43">
        <f t="shared" si="100"/>
        <v>63.092979852811091</v>
      </c>
    </row>
    <row r="22" spans="1:65" x14ac:dyDescent="0.25">
      <c r="A22" t="s">
        <v>174</v>
      </c>
      <c r="N22" s="9">
        <v>4</v>
      </c>
      <c r="O22" s="34">
        <f t="shared" si="62"/>
        <v>10.964781961431854</v>
      </c>
      <c r="P22" s="33" t="str">
        <f t="shared" si="50"/>
        <v>54,631621870174</v>
      </c>
      <c r="Q22" s="4" t="str">
        <f t="shared" si="63"/>
        <v>1+0,549169379246338i</v>
      </c>
      <c r="R22" s="4">
        <f t="shared" si="64"/>
        <v>1.1408711614822282</v>
      </c>
      <c r="S22" s="4">
        <f t="shared" si="65"/>
        <v>0.50220527459256525</v>
      </c>
      <c r="T22" s="4" t="str">
        <f t="shared" si="51"/>
        <v>1+0,00137787513832993i</v>
      </c>
      <c r="U22" s="4">
        <f t="shared" si="66"/>
        <v>1.0000009492694979</v>
      </c>
      <c r="V22" s="4">
        <f t="shared" si="67"/>
        <v>1.3778742663472822E-3</v>
      </c>
      <c r="W22" t="str">
        <f t="shared" si="52"/>
        <v>1-0,000274151602936305i</v>
      </c>
      <c r="X22" s="4">
        <f t="shared" si="68"/>
        <v>1.0000000375795499</v>
      </c>
      <c r="Y22" s="4">
        <f t="shared" si="69"/>
        <v>-2.7415159606797594E-4</v>
      </c>
      <c r="Z22" t="str">
        <f t="shared" si="53"/>
        <v>0,999999999519094+0,0000376662128935985i</v>
      </c>
      <c r="AA22" s="4">
        <f t="shared" si="70"/>
        <v>1.0000000002284657</v>
      </c>
      <c r="AB22" s="4">
        <f t="shared" si="71"/>
        <v>3.7666212893899505E-5</v>
      </c>
      <c r="AC22" s="47" t="str">
        <f t="shared" si="72"/>
        <v>41,9976753723845-23,0055968743398i</v>
      </c>
      <c r="AD22" s="20">
        <f t="shared" si="73"/>
        <v>33.604158398466247</v>
      </c>
      <c r="AE22" s="43">
        <f t="shared" si="74"/>
        <v>-28.713162147631749</v>
      </c>
      <c r="AF22" t="str">
        <f t="shared" si="54"/>
        <v>171,265703090588</v>
      </c>
      <c r="AG22" t="str">
        <f t="shared" si="55"/>
        <v>1+0,543913818711401i</v>
      </c>
      <c r="AH22">
        <f t="shared" si="75"/>
        <v>1.1383506674945199</v>
      </c>
      <c r="AI22">
        <f t="shared" si="76"/>
        <v>0.49815851356133556</v>
      </c>
      <c r="AJ22" t="str">
        <f t="shared" si="56"/>
        <v>1+0,00137787513832993i</v>
      </c>
      <c r="AK22">
        <f t="shared" si="77"/>
        <v>1.0000009492694979</v>
      </c>
      <c r="AL22">
        <f t="shared" si="78"/>
        <v>1.3778742663472822E-3</v>
      </c>
      <c r="AM22" t="str">
        <f t="shared" si="57"/>
        <v>1-0,0000866139620074865i</v>
      </c>
      <c r="AN22">
        <f t="shared" si="79"/>
        <v>1.0000000037509891</v>
      </c>
      <c r="AO22">
        <f t="shared" si="80"/>
        <v>-8.6613961790894464E-5</v>
      </c>
      <c r="AP22" s="41" t="str">
        <f t="shared" si="81"/>
        <v>132,258390576813-71,7160175220216i</v>
      </c>
      <c r="AQ22">
        <f t="shared" si="82"/>
        <v>43.547894982787994</v>
      </c>
      <c r="AR22" s="43">
        <f t="shared" si="83"/>
        <v>-28.468396589871151</v>
      </c>
      <c r="AS22" t="str">
        <f t="shared" si="58"/>
        <v>-0,0000166666666666667</v>
      </c>
      <c r="AT22" t="str">
        <f t="shared" si="59"/>
        <v>1,04856298026908E-07i</v>
      </c>
      <c r="AU22">
        <f t="shared" si="84"/>
        <v>1.0485629802690801E-7</v>
      </c>
      <c r="AV22">
        <f t="shared" si="85"/>
        <v>1.5707963267948966</v>
      </c>
      <c r="AW22" t="str">
        <f t="shared" si="60"/>
        <v>1+0,000328625936408517i</v>
      </c>
      <c r="AX22">
        <f t="shared" si="86"/>
        <v>1.0000000539975016</v>
      </c>
      <c r="AY22">
        <f t="shared" si="87"/>
        <v>3.2862592457853112E-4</v>
      </c>
      <c r="AZ22" t="str">
        <f t="shared" si="61"/>
        <v>1+0,0227349397824438i</v>
      </c>
      <c r="BA22">
        <f t="shared" si="88"/>
        <v>1.0002584053567916</v>
      </c>
      <c r="BB22">
        <f t="shared" si="89"/>
        <v>2.2731023937266132E-2</v>
      </c>
      <c r="BC22" s="41" t="str">
        <f t="shared" si="90"/>
        <v>-3,56143150958144+158,948863367027i</v>
      </c>
      <c r="BD22">
        <f t="shared" si="91"/>
        <v>44.027328297925436</v>
      </c>
      <c r="BE22" s="43">
        <f t="shared" si="92"/>
        <v>91.283562857099255</v>
      </c>
      <c r="BF22" s="41" t="str">
        <f t="shared" si="93"/>
        <v>3507,14162985596+6757,4156221029i</v>
      </c>
      <c r="BG22" s="20">
        <f t="shared" si="94"/>
        <v>77.631486696391676</v>
      </c>
      <c r="BH22" s="43">
        <f t="shared" si="95"/>
        <v>62.570400709467499</v>
      </c>
      <c r="BI22" s="41" t="str">
        <f t="shared" si="96"/>
        <v>10928,1502707283+21277,7325374814i</v>
      </c>
      <c r="BJ22" s="20">
        <f t="shared" si="97"/>
        <v>87.575223280713445</v>
      </c>
      <c r="BK22" s="43">
        <f t="shared" si="98"/>
        <v>62.815166267228228</v>
      </c>
      <c r="BL22">
        <f t="shared" si="99"/>
        <v>77.631486696391676</v>
      </c>
      <c r="BM22" s="43">
        <f t="shared" si="100"/>
        <v>62.570400709467499</v>
      </c>
    </row>
    <row r="23" spans="1:65" x14ac:dyDescent="0.25">
      <c r="A23" t="s">
        <v>175</v>
      </c>
      <c r="B23" s="29">
        <f>Lm</f>
        <v>1.5E-6</v>
      </c>
      <c r="C23" t="s">
        <v>87</v>
      </c>
      <c r="E23" t="s">
        <v>176</v>
      </c>
      <c r="N23" s="9">
        <v>5</v>
      </c>
      <c r="O23" s="34">
        <f t="shared" si="62"/>
        <v>11.220184543019636</v>
      </c>
      <c r="P23" s="33" t="str">
        <f t="shared" si="50"/>
        <v>54,631621870174</v>
      </c>
      <c r="Q23" s="4" t="str">
        <f t="shared" si="63"/>
        <v>1+0,561961177357949i</v>
      </c>
      <c r="R23" s="4">
        <f t="shared" si="64"/>
        <v>1.1470834166953736</v>
      </c>
      <c r="S23" s="4">
        <f t="shared" si="65"/>
        <v>0.51198005272978542</v>
      </c>
      <c r="T23" s="4" t="str">
        <f t="shared" si="51"/>
        <v>1+0,00140996997329089i</v>
      </c>
      <c r="U23" s="4">
        <f t="shared" si="66"/>
        <v>1.0000009940071688</v>
      </c>
      <c r="V23" s="4">
        <f t="shared" si="67"/>
        <v>1.4099690389446993E-3</v>
      </c>
      <c r="W23" t="str">
        <f t="shared" si="52"/>
        <v>1-0,000280537414107257i</v>
      </c>
      <c r="X23" s="4">
        <f t="shared" si="68"/>
        <v>1.0000000393506197</v>
      </c>
      <c r="Y23" s="4">
        <f t="shared" si="69"/>
        <v>-2.8053740674770981E-4</v>
      </c>
      <c r="Z23" t="str">
        <f t="shared" si="53"/>
        <v>0,99999999949643+0,0000385435716997743i</v>
      </c>
      <c r="AA23" s="4">
        <f t="shared" si="70"/>
        <v>1.0000000002392333</v>
      </c>
      <c r="AB23" s="4">
        <f t="shared" si="71"/>
        <v>3.8543571700096823E-5</v>
      </c>
      <c r="AC23" s="47" t="str">
        <f t="shared" si="72"/>
        <v>41,5451602564758-23,2871701374798i</v>
      </c>
      <c r="AD23" s="20">
        <f t="shared" si="73"/>
        <v>33.556990824183018</v>
      </c>
      <c r="AE23" s="43">
        <f t="shared" si="74"/>
        <v>-29.271792934514409</v>
      </c>
      <c r="AF23" t="str">
        <f t="shared" si="54"/>
        <v>171,265703090588</v>
      </c>
      <c r="AG23" t="str">
        <f t="shared" si="55"/>
        <v>1+0,556583199092041i</v>
      </c>
      <c r="AH23">
        <f t="shared" si="75"/>
        <v>1.1444583249343465</v>
      </c>
      <c r="AI23">
        <f t="shared" si="76"/>
        <v>0.50788343657147517</v>
      </c>
      <c r="AJ23" t="str">
        <f t="shared" si="56"/>
        <v>1+0,00140996997329089i</v>
      </c>
      <c r="AK23">
        <f t="shared" si="77"/>
        <v>1.0000009940071688</v>
      </c>
      <c r="AL23">
        <f t="shared" si="78"/>
        <v>1.4099690389446993E-3</v>
      </c>
      <c r="AM23" t="str">
        <f t="shared" si="57"/>
        <v>1-0,0000886314603559324i</v>
      </c>
      <c r="AN23">
        <f t="shared" si="79"/>
        <v>1.0000000039277679</v>
      </c>
      <c r="AO23">
        <f t="shared" si="80"/>
        <v>-8.8631460123849868E-5</v>
      </c>
      <c r="AP23" s="41" t="str">
        <f t="shared" si="81"/>
        <v>130,854833350144-72,6053017932406i</v>
      </c>
      <c r="AQ23">
        <f t="shared" si="82"/>
        <v>43.501417051482186</v>
      </c>
      <c r="AR23" s="43">
        <f t="shared" si="83"/>
        <v>-29.023870333567313</v>
      </c>
      <c r="AS23" t="str">
        <f t="shared" si="58"/>
        <v>-0,0000166666666666667</v>
      </c>
      <c r="AT23" t="str">
        <f t="shared" si="59"/>
        <v>1,07298714967437E-07i</v>
      </c>
      <c r="AU23">
        <f t="shared" si="84"/>
        <v>1.0729871496743699E-7</v>
      </c>
      <c r="AV23">
        <f t="shared" si="85"/>
        <v>1.5707963267948966</v>
      </c>
      <c r="AW23" t="str">
        <f t="shared" si="60"/>
        <v>1+0,000336280617808537i</v>
      </c>
      <c r="AX23">
        <f t="shared" si="86"/>
        <v>1.0000000565423253</v>
      </c>
      <c r="AY23">
        <f t="shared" si="87"/>
        <v>3.3628060513247879E-4</v>
      </c>
      <c r="AZ23" t="str">
        <f t="shared" si="61"/>
        <v>1+0,0232645045592997i</v>
      </c>
      <c r="BA23">
        <f t="shared" si="88"/>
        <v>1.0002705819788911</v>
      </c>
      <c r="BB23">
        <f t="shared" si="89"/>
        <v>2.3260308716894725E-2</v>
      </c>
      <c r="BC23" s="41" t="str">
        <f t="shared" si="90"/>
        <v>-3,56143149145502+155,330799413569i</v>
      </c>
      <c r="BD23">
        <f t="shared" si="91"/>
        <v>43.827434012650379</v>
      </c>
      <c r="BE23" s="43">
        <f t="shared" si="92"/>
        <v>91.313450060243227</v>
      </c>
      <c r="BF23" s="41" t="str">
        <f t="shared" si="93"/>
        <v>3469,25451147957+6536,17861547771i</v>
      </c>
      <c r="BG23" s="20">
        <f t="shared" si="94"/>
        <v>77.384424836833389</v>
      </c>
      <c r="BH23" s="43">
        <f t="shared" si="95"/>
        <v>62.041657125728811</v>
      </c>
      <c r="BI23" s="41" t="str">
        <f t="shared" si="96"/>
        <v>10811,8090449052+20584,3646796603i</v>
      </c>
      <c r="BJ23" s="20">
        <f t="shared" si="97"/>
        <v>87.328851064132579</v>
      </c>
      <c r="BK23" s="43">
        <f t="shared" si="98"/>
        <v>62.289579726675967</v>
      </c>
      <c r="BL23">
        <f t="shared" si="99"/>
        <v>77.384424836833389</v>
      </c>
      <c r="BM23" s="43">
        <f t="shared" si="100"/>
        <v>62.041657125728811</v>
      </c>
    </row>
    <row r="24" spans="1:65" x14ac:dyDescent="0.25">
      <c r="N24" s="9">
        <v>6</v>
      </c>
      <c r="O24" s="34">
        <f t="shared" si="62"/>
        <v>11.481536214968834</v>
      </c>
      <c r="P24" s="33" t="str">
        <f t="shared" si="50"/>
        <v>54,631621870174</v>
      </c>
      <c r="Q24" s="4" t="str">
        <f t="shared" si="63"/>
        <v>1+0,575050934724232i</v>
      </c>
      <c r="R24" s="4">
        <f t="shared" si="64"/>
        <v>1.1535525898402781</v>
      </c>
      <c r="S24" s="4">
        <f t="shared" si="65"/>
        <v>0.52187255776886243</v>
      </c>
      <c r="T24" s="4" t="str">
        <f t="shared" si="51"/>
        <v>1+0,00144281239299485i</v>
      </c>
      <c r="U24" s="4">
        <f t="shared" si="66"/>
        <v>1.0000010408532589</v>
      </c>
      <c r="V24" s="4">
        <f t="shared" si="67"/>
        <v>1.4428113918249252E-3</v>
      </c>
      <c r="W24" t="str">
        <f t="shared" si="52"/>
        <v>1-0,00028707196992852i</v>
      </c>
      <c r="X24" s="4">
        <f t="shared" si="68"/>
        <v>1.0000000412051571</v>
      </c>
      <c r="Y24" s="4">
        <f t="shared" si="69"/>
        <v>-2.8707196204262315E-4</v>
      </c>
      <c r="Z24" t="str">
        <f t="shared" si="53"/>
        <v>0,999999999472697+0,0000394413668178499i</v>
      </c>
      <c r="AA24" s="4">
        <f t="shared" si="70"/>
        <v>1.0000000002505076</v>
      </c>
      <c r="AB24" s="4">
        <f t="shared" si="71"/>
        <v>3.9441366818195513E-5</v>
      </c>
      <c r="AC24" s="47" t="str">
        <f t="shared" si="72"/>
        <v>41,0816797225474-23,5630730975137i</v>
      </c>
      <c r="AD24" s="20">
        <f t="shared" si="73"/>
        <v>33.50814330076566</v>
      </c>
      <c r="AE24" s="43">
        <f t="shared" si="74"/>
        <v>-29.837135836166556</v>
      </c>
      <c r="AF24" t="str">
        <f t="shared" si="54"/>
        <v>171,265703090588</v>
      </c>
      <c r="AG24" t="str">
        <f t="shared" si="55"/>
        <v>1+0,56954768725209i</v>
      </c>
      <c r="AH24">
        <f t="shared" si="75"/>
        <v>1.1508190857186045</v>
      </c>
      <c r="AI24">
        <f t="shared" si="76"/>
        <v>0.51772706814648173</v>
      </c>
      <c r="AJ24" t="str">
        <f t="shared" si="56"/>
        <v>1+0,00144281239299485i</v>
      </c>
      <c r="AK24">
        <f t="shared" si="77"/>
        <v>1.0000010408532589</v>
      </c>
      <c r="AL24">
        <f t="shared" si="78"/>
        <v>1.4428113918249252E-3</v>
      </c>
      <c r="AM24" t="str">
        <f t="shared" si="57"/>
        <v>1-0,0000906959522778352i</v>
      </c>
      <c r="AN24">
        <f t="shared" si="79"/>
        <v>1.0000000041128778</v>
      </c>
      <c r="AO24">
        <f t="shared" si="80"/>
        <v>-9.069595202915428E-5</v>
      </c>
      <c r="AP24" s="41" t="str">
        <f t="shared" si="81"/>
        <v>129,416802688748-73,4774694900568i</v>
      </c>
      <c r="AQ24">
        <f t="shared" si="82"/>
        <v>43.453275995813485</v>
      </c>
      <c r="AR24" s="43">
        <f t="shared" si="83"/>
        <v>-29.586105436360612</v>
      </c>
      <c r="AS24" t="str">
        <f t="shared" si="58"/>
        <v>-0,0000166666666666667</v>
      </c>
      <c r="AT24" t="str">
        <f t="shared" si="59"/>
        <v>1,09798023106908E-07i</v>
      </c>
      <c r="AU24">
        <f t="shared" si="84"/>
        <v>1.09798023106908E-7</v>
      </c>
      <c r="AV24">
        <f t="shared" si="85"/>
        <v>1.5707963267948966</v>
      </c>
      <c r="AW24" t="str">
        <f t="shared" si="60"/>
        <v>1+0,000344113599643318i</v>
      </c>
      <c r="AX24">
        <f t="shared" si="86"/>
        <v>1.000000059207083</v>
      </c>
      <c r="AY24">
        <f t="shared" si="87"/>
        <v>3.4411358606067693E-4</v>
      </c>
      <c r="AZ24" t="str">
        <f t="shared" si="61"/>
        <v>1+0,023806404484415i</v>
      </c>
      <c r="BA24">
        <f t="shared" si="88"/>
        <v>1.0002833323086391</v>
      </c>
      <c r="BB24">
        <f t="shared" si="89"/>
        <v>2.3801908627052743E-2</v>
      </c>
      <c r="BC24" s="41" t="str">
        <f t="shared" si="90"/>
        <v>-3,56143147247434+151,795093906006i</v>
      </c>
      <c r="BD24">
        <f t="shared" si="91"/>
        <v>43.627544706797707</v>
      </c>
      <c r="BE24" s="43">
        <f t="shared" si="92"/>
        <v>91.344032652531766</v>
      </c>
      <c r="BF24" s="41" t="str">
        <f t="shared" si="93"/>
        <v>3430,44930644518+6319,91570141824i</v>
      </c>
      <c r="BG24" s="20">
        <f t="shared" si="94"/>
        <v>77.13568800756336</v>
      </c>
      <c r="BH24" s="43">
        <f t="shared" si="95"/>
        <v>61.506896816365227</v>
      </c>
      <c r="BI24" s="41" t="str">
        <f t="shared" si="96"/>
        <v>10692,6103070562+19906,5206895132i</v>
      </c>
      <c r="BJ24" s="20">
        <f t="shared" si="97"/>
        <v>87.080820702611192</v>
      </c>
      <c r="BK24" s="43">
        <f t="shared" si="98"/>
        <v>61.757927216171041</v>
      </c>
      <c r="BL24">
        <f t="shared" si="99"/>
        <v>77.13568800756336</v>
      </c>
      <c r="BM24" s="43">
        <f t="shared" si="100"/>
        <v>61.506896816365227</v>
      </c>
    </row>
    <row r="25" spans="1:65" x14ac:dyDescent="0.25">
      <c r="A25" t="s">
        <v>137</v>
      </c>
      <c r="B25" s="29">
        <f>R_cs</f>
        <v>1.5E-3</v>
      </c>
      <c r="C25" s="2" t="s">
        <v>36</v>
      </c>
      <c r="E25" t="s">
        <v>177</v>
      </c>
      <c r="N25" s="9">
        <v>7</v>
      </c>
      <c r="O25" s="34">
        <f t="shared" si="62"/>
        <v>11.748975549395301</v>
      </c>
      <c r="P25" s="33" t="str">
        <f t="shared" si="50"/>
        <v>54,631621870174</v>
      </c>
      <c r="Q25" s="4" t="str">
        <f t="shared" si="63"/>
        <v>1+0,588445591707804i</v>
      </c>
      <c r="R25" s="4">
        <f t="shared" si="64"/>
        <v>1.1602879876997554</v>
      </c>
      <c r="S25" s="4">
        <f t="shared" si="65"/>
        <v>0.53188028941311583</v>
      </c>
      <c r="T25" s="4" t="str">
        <f t="shared" si="51"/>
        <v>1+0,00147641981092746i</v>
      </c>
      <c r="U25" s="4">
        <f t="shared" si="66"/>
        <v>1.0000010899071352</v>
      </c>
      <c r="V25" s="4">
        <f t="shared" si="67"/>
        <v>1.4764187381546209E-3</v>
      </c>
      <c r="W25" t="str">
        <f t="shared" si="52"/>
        <v>1-0,000293758735108086i</v>
      </c>
      <c r="X25" s="4">
        <f t="shared" si="68"/>
        <v>1.0000000431470963</v>
      </c>
      <c r="Y25" s="4">
        <f t="shared" si="69"/>
        <v>-2.9375872665819529E-4</v>
      </c>
      <c r="Z25" t="str">
        <f t="shared" si="53"/>
        <v>0,999999999447846+0,0000403600742706804i</v>
      </c>
      <c r="AA25" s="4">
        <f t="shared" si="70"/>
        <v>1.0000000002623137</v>
      </c>
      <c r="AB25" s="4">
        <f t="shared" si="71"/>
        <v>4.0360074271050722E-5</v>
      </c>
      <c r="AC25" s="47" t="str">
        <f t="shared" si="72"/>
        <v>40,6073395481395-23,8328041927308i</v>
      </c>
      <c r="AD25" s="20">
        <f t="shared" si="73"/>
        <v>33.457575793260503</v>
      </c>
      <c r="AE25" s="43">
        <f t="shared" si="74"/>
        <v>-30.409046824227183</v>
      </c>
      <c r="AF25" t="str">
        <f t="shared" si="54"/>
        <v>171,265703090588</v>
      </c>
      <c r="AG25" t="str">
        <f t="shared" si="55"/>
        <v>1+0,582814157134774i</v>
      </c>
      <c r="AH25">
        <f t="shared" si="75"/>
        <v>1.1574421548210161</v>
      </c>
      <c r="AI25">
        <f t="shared" si="76"/>
        <v>0.52768699627117721</v>
      </c>
      <c r="AJ25" t="str">
        <f t="shared" si="56"/>
        <v>1+0,00147641981092746i</v>
      </c>
      <c r="AK25">
        <f t="shared" si="77"/>
        <v>1.0000010899071352</v>
      </c>
      <c r="AL25">
        <f t="shared" si="78"/>
        <v>1.4764187381546209E-3</v>
      </c>
      <c r="AM25" t="str">
        <f t="shared" si="57"/>
        <v>1-0,0000928085323941384i</v>
      </c>
      <c r="AN25">
        <f t="shared" si="79"/>
        <v>1.0000000043067119</v>
      </c>
      <c r="AO25">
        <f t="shared" si="80"/>
        <v>-9.2808532127672001E-5</v>
      </c>
      <c r="AP25" s="41" t="str">
        <f t="shared" si="81"/>
        <v>127,944593513422-74,3309552700541i</v>
      </c>
      <c r="AQ25">
        <f t="shared" si="82"/>
        <v>43.403431627715847</v>
      </c>
      <c r="AR25" s="43">
        <f t="shared" si="83"/>
        <v>-30.154962764977441</v>
      </c>
      <c r="AS25" t="str">
        <f t="shared" si="58"/>
        <v>-0,0000166666666666667</v>
      </c>
      <c r="AT25" t="str">
        <f t="shared" si="59"/>
        <v>1,12355547611579E-07i</v>
      </c>
      <c r="AU25">
        <f t="shared" si="84"/>
        <v>1.12355547611579E-7</v>
      </c>
      <c r="AV25">
        <f t="shared" si="85"/>
        <v>1.5707963267948966</v>
      </c>
      <c r="AW25" t="str">
        <f t="shared" si="60"/>
        <v>1+0,000352129035063513i</v>
      </c>
      <c r="AX25">
        <f t="shared" si="86"/>
        <v>1.0000000619974267</v>
      </c>
      <c r="AY25">
        <f t="shared" si="87"/>
        <v>3.5212902050945092E-4</v>
      </c>
      <c r="AZ25" t="str">
        <f t="shared" si="61"/>
        <v>1+0,024360926880303i</v>
      </c>
      <c r="BA25">
        <f t="shared" si="88"/>
        <v>1.000296683368723</v>
      </c>
      <c r="BB25">
        <f t="shared" si="89"/>
        <v>2.4356109559511264E-2</v>
      </c>
      <c r="BC25" s="41" t="str">
        <f t="shared" si="90"/>
        <v>-3,56143145259911+148,339872166477i</v>
      </c>
      <c r="BD25">
        <f t="shared" si="91"/>
        <v>43.427660614774304</v>
      </c>
      <c r="BE25" s="43">
        <f t="shared" si="92"/>
        <v>91.375326776398964</v>
      </c>
      <c r="BF25" s="41" t="str">
        <f t="shared" si="93"/>
        <v>3390,73487104525+6108,56645604737i</v>
      </c>
      <c r="BG25" s="20">
        <f t="shared" si="94"/>
        <v>76.885236408034814</v>
      </c>
      <c r="BH25" s="43">
        <f t="shared" si="95"/>
        <v>60.966279952171796</v>
      </c>
      <c r="BI25" s="41" t="str">
        <f t="shared" si="96"/>
        <v>10570,5785032432+19244,0092481734i</v>
      </c>
      <c r="BJ25" s="20">
        <f t="shared" si="97"/>
        <v>86.831092242490143</v>
      </c>
      <c r="BK25" s="43">
        <f t="shared" si="98"/>
        <v>61.220364011421623</v>
      </c>
      <c r="BL25">
        <f t="shared" si="99"/>
        <v>76.885236408034814</v>
      </c>
      <c r="BM25" s="43">
        <f t="shared" si="100"/>
        <v>60.966279952171796</v>
      </c>
    </row>
    <row r="26" spans="1:65" x14ac:dyDescent="0.25">
      <c r="A26" t="s">
        <v>138</v>
      </c>
      <c r="B26" s="29">
        <f>R_sl</f>
        <v>0</v>
      </c>
      <c r="C26" s="2" t="s">
        <v>36</v>
      </c>
      <c r="E26" t="s">
        <v>493</v>
      </c>
      <c r="N26" s="9">
        <v>8</v>
      </c>
      <c r="O26" s="34">
        <f t="shared" si="62"/>
        <v>12.022644346174133</v>
      </c>
      <c r="P26" s="33" t="str">
        <f t="shared" si="50"/>
        <v>54,631621870174</v>
      </c>
      <c r="Q26" s="4" t="str">
        <f t="shared" si="63"/>
        <v>1+0,602152250333097i</v>
      </c>
      <c r="R26" s="4">
        <f t="shared" si="64"/>
        <v>1.1672991615610853</v>
      </c>
      <c r="S26" s="4">
        <f t="shared" si="65"/>
        <v>0.54200053473427601</v>
      </c>
      <c r="T26" s="4" t="str">
        <f t="shared" si="51"/>
        <v>1+0,00151081004618654i</v>
      </c>
      <c r="U26" s="4">
        <f t="shared" si="66"/>
        <v>1.0000011412728467</v>
      </c>
      <c r="V26" s="4">
        <f t="shared" si="67"/>
        <v>1.5108088966898038E-3</v>
      </c>
      <c r="W26" t="str">
        <f t="shared" si="52"/>
        <v>1-0,000300601255057363i</v>
      </c>
      <c r="X26" s="4">
        <f t="shared" si="68"/>
        <v>1.0000000451805562</v>
      </c>
      <c r="Y26" s="4">
        <f t="shared" si="69"/>
        <v>-3.0060124600314201E-4</v>
      </c>
      <c r="Z26" t="str">
        <f t="shared" si="53"/>
        <v>0,999999999421824+0,000041300181169118i</v>
      </c>
      <c r="AA26" s="4">
        <f t="shared" si="70"/>
        <v>1.0000000002746765</v>
      </c>
      <c r="AB26" s="4">
        <f t="shared" si="71"/>
        <v>4.1300181169514796E-5</v>
      </c>
      <c r="AC26" s="47" t="str">
        <f t="shared" si="72"/>
        <v>40,1222740792927-24,0958582532453i</v>
      </c>
      <c r="AD26" s="20">
        <f t="shared" si="73"/>
        <v>33.405248706875462</v>
      </c>
      <c r="AE26" s="43">
        <f t="shared" si="74"/>
        <v>-30.987369669463178</v>
      </c>
      <c r="AF26" t="str">
        <f t="shared" si="54"/>
        <v>171,265703090588</v>
      </c>
      <c r="AG26" t="str">
        <f t="shared" si="55"/>
        <v>1+0,596389642798028i</v>
      </c>
      <c r="AH26">
        <f t="shared" si="75"/>
        <v>1.1643369813059961</v>
      </c>
      <c r="AI26">
        <f t="shared" si="76"/>
        <v>0.53776059699986056</v>
      </c>
      <c r="AJ26" t="str">
        <f t="shared" si="56"/>
        <v>1+0,00151081004618654i</v>
      </c>
      <c r="AK26">
        <f t="shared" si="77"/>
        <v>1.0000011412728467</v>
      </c>
      <c r="AL26">
        <f t="shared" si="78"/>
        <v>1.5108088966898038E-3</v>
      </c>
      <c r="AM26" t="str">
        <f t="shared" si="57"/>
        <v>1-0,0000949703208227831i</v>
      </c>
      <c r="AN26">
        <f t="shared" si="79"/>
        <v>1.0000000045096809</v>
      </c>
      <c r="AO26">
        <f t="shared" si="80"/>
        <v>-9.4970320537259204E-5</v>
      </c>
      <c r="AP26" s="41" t="str">
        <f t="shared" si="81"/>
        <v>126,438589086395-75,1641801950935i</v>
      </c>
      <c r="AQ26">
        <f t="shared" si="82"/>
        <v>43.351844155806624</v>
      </c>
      <c r="AR26" s="43">
        <f t="shared" si="83"/>
        <v>-30.730291021642092</v>
      </c>
      <c r="AS26" t="str">
        <f t="shared" si="58"/>
        <v>-0,0000166666666666667</v>
      </c>
      <c r="AT26" t="str">
        <f t="shared" si="59"/>
        <v>1,14972644514796E-07i</v>
      </c>
      <c r="AU26">
        <f t="shared" si="84"/>
        <v>1.14972644514796E-7</v>
      </c>
      <c r="AV26">
        <f t="shared" si="85"/>
        <v>1.5707963267948966</v>
      </c>
      <c r="AW26" t="str">
        <f t="shared" si="60"/>
        <v>1+0,000360331173959076i</v>
      </c>
      <c r="AX26">
        <f t="shared" si="86"/>
        <v>1.0000000649192755</v>
      </c>
      <c r="AY26">
        <f t="shared" si="87"/>
        <v>3.6033115836411759E-4</v>
      </c>
      <c r="AZ26" t="str">
        <f t="shared" si="61"/>
        <v>1+0,0249283657620779i</v>
      </c>
      <c r="BA26">
        <f t="shared" si="88"/>
        <v>1.0003106634538932</v>
      </c>
      <c r="BB26">
        <f t="shared" si="89"/>
        <v>2.4923203996427796E-2</v>
      </c>
      <c r="BC26" s="41" t="str">
        <f t="shared" si="90"/>
        <v>-3,56143143178716+144,96330219068i</v>
      </c>
      <c r="BD26">
        <f t="shared" si="91"/>
        <v>43.227781982008658</v>
      </c>
      <c r="BE26" s="43">
        <f t="shared" si="92"/>
        <v>91.407348946337564</v>
      </c>
      <c r="BF26" s="41" t="str">
        <f t="shared" si="93"/>
        <v>3350,12245348822+5902,07308889279i</v>
      </c>
      <c r="BG26" s="20">
        <f t="shared" si="94"/>
        <v>76.633030688884119</v>
      </c>
      <c r="BH26" s="43">
        <f t="shared" si="95"/>
        <v>60.419979276874372</v>
      </c>
      <c r="BI26" s="41" t="str">
        <f t="shared" si="96"/>
        <v>10445,745402173+18596,6474721856i</v>
      </c>
      <c r="BJ26" s="20">
        <f t="shared" si="97"/>
        <v>86.579626137815282</v>
      </c>
      <c r="BK26" s="43">
        <f t="shared" si="98"/>
        <v>60.677057924695355</v>
      </c>
      <c r="BL26">
        <f t="shared" si="99"/>
        <v>76.633030688884119</v>
      </c>
      <c r="BM26" s="43">
        <f t="shared" si="100"/>
        <v>60.419979276874372</v>
      </c>
    </row>
    <row r="27" spans="1:65" x14ac:dyDescent="0.25">
      <c r="A27" t="s">
        <v>129</v>
      </c>
      <c r="B27" s="12">
        <f>Rsl_int</f>
        <v>3000</v>
      </c>
      <c r="C27" s="2" t="s">
        <v>36</v>
      </c>
      <c r="E27" t="s">
        <v>178</v>
      </c>
      <c r="N27" s="9">
        <v>9</v>
      </c>
      <c r="O27" s="34">
        <f t="shared" si="62"/>
        <v>12.302687708123818</v>
      </c>
      <c r="P27" s="33" t="str">
        <f t="shared" si="50"/>
        <v>54,631621870174</v>
      </c>
      <c r="Q27" s="4" t="str">
        <f t="shared" si="63"/>
        <v>1+0,616178178051945i</v>
      </c>
      <c r="R27" s="4">
        <f t="shared" si="64"/>
        <v>1.1745959080072663</v>
      </c>
      <c r="S27" s="4">
        <f t="shared" si="65"/>
        <v>0.55223036703154227</v>
      </c>
      <c r="T27" s="4" t="str">
        <f t="shared" si="51"/>
        <v>1+0,00154600133293005i</v>
      </c>
      <c r="U27" s="4">
        <f t="shared" si="66"/>
        <v>1.0000011950593466</v>
      </c>
      <c r="V27" s="4">
        <f t="shared" si="67"/>
        <v>1.5460001012221852E-3</v>
      </c>
      <c r="W27" t="str">
        <f t="shared" si="52"/>
        <v>1-0,000307603157770999i</v>
      </c>
      <c r="X27" s="4">
        <f t="shared" si="68"/>
        <v>1.0000000473098503</v>
      </c>
      <c r="Y27" s="4">
        <f t="shared" si="69"/>
        <v>-3.0760314806922647E-4</v>
      </c>
      <c r="Z27" t="str">
        <f t="shared" si="53"/>
        <v>0,999999999394576+0,0000422621859702841i</v>
      </c>
      <c r="AA27" s="4">
        <f t="shared" si="70"/>
        <v>1.0000000002876219</v>
      </c>
      <c r="AB27" s="4">
        <f t="shared" si="71"/>
        <v>4.2262185970709247E-5</v>
      </c>
      <c r="AC27" s="47" t="str">
        <f t="shared" si="72"/>
        <v>39,6266470487085-24,3517283328906i</v>
      </c>
      <c r="AD27" s="20">
        <f t="shared" si="73"/>
        <v>33.351122993309303</v>
      </c>
      <c r="AE27" s="43">
        <f t="shared" si="74"/>
        <v>-31.57193587597941</v>
      </c>
      <c r="AF27" t="str">
        <f t="shared" si="54"/>
        <v>171,265703090588</v>
      </c>
      <c r="AG27" t="str">
        <f t="shared" si="55"/>
        <v>1+0,610281342144045i</v>
      </c>
      <c r="AH27">
        <f t="shared" si="75"/>
        <v>1.1715132592374431</v>
      </c>
      <c r="AI27">
        <f t="shared" si="76"/>
        <v>0.5479450329965373</v>
      </c>
      <c r="AJ27" t="str">
        <f t="shared" si="56"/>
        <v>1+0,00154600133293005i</v>
      </c>
      <c r="AK27">
        <f t="shared" si="77"/>
        <v>1.0000011950593466</v>
      </c>
      <c r="AL27">
        <f t="shared" si="78"/>
        <v>1.5460001012221852E-3</v>
      </c>
      <c r="AM27" t="str">
        <f t="shared" si="57"/>
        <v>1-0,000097182463772609i</v>
      </c>
      <c r="AN27">
        <f t="shared" si="79"/>
        <v>1.0000000047222155</v>
      </c>
      <c r="AO27">
        <f t="shared" si="80"/>
        <v>-9.7182463466664629E-5</v>
      </c>
      <c r="AP27" s="41" t="str">
        <f t="shared" si="81"/>
        <v>124,899263730787-75,9755573201504i</v>
      </c>
      <c r="AQ27">
        <f t="shared" si="82"/>
        <v>43.29847429042448</v>
      </c>
      <c r="AR27" s="43">
        <f t="shared" si="83"/>
        <v>-31.311926659930659</v>
      </c>
      <c r="AS27" t="str">
        <f t="shared" si="58"/>
        <v>-0,0000166666666666667</v>
      </c>
      <c r="AT27" t="str">
        <f t="shared" si="59"/>
        <v>1,17650701435977E-07i</v>
      </c>
      <c r="AU27">
        <f t="shared" si="84"/>
        <v>1.17650701435977E-7</v>
      </c>
      <c r="AV27">
        <f t="shared" si="85"/>
        <v>1.5707963267948966</v>
      </c>
      <c r="AW27" t="str">
        <f t="shared" si="60"/>
        <v>1+0,00036872436521262i</v>
      </c>
      <c r="AX27">
        <f t="shared" si="86"/>
        <v>1.0000000679788266</v>
      </c>
      <c r="AY27">
        <f t="shared" si="87"/>
        <v>3.6872434850232104E-4</v>
      </c>
      <c r="AZ27" t="str">
        <f t="shared" si="61"/>
        <v>1+0,0255090219933458i</v>
      </c>
      <c r="BA27">
        <f t="shared" si="88"/>
        <v>1.000325302190771</v>
      </c>
      <c r="BB27">
        <f t="shared" si="89"/>
        <v>2.5503491158940472E-2</v>
      </c>
      <c r="BC27" s="41" t="str">
        <f t="shared" si="90"/>
        <v>-3,56143140999441+141,66359367652i</v>
      </c>
      <c r="BD27">
        <f t="shared" si="91"/>
        <v>43.027909065467902</v>
      </c>
      <c r="BE27" s="43">
        <f t="shared" si="92"/>
        <v>91.440116057283589</v>
      </c>
      <c r="BF27" s="41" t="str">
        <f t="shared" si="93"/>
        <v>3308,62576239958+5700,38023644352i</v>
      </c>
      <c r="BG27" s="20">
        <f t="shared" si="94"/>
        <v>76.379032058777213</v>
      </c>
      <c r="BH27" s="43">
        <f t="shared" si="95"/>
        <v>59.868180181304204</v>
      </c>
      <c r="BI27" s="41" t="str">
        <f t="shared" si="96"/>
        <v>10318,1503206129+17964,2602838865i</v>
      </c>
      <c r="BJ27" s="20">
        <f t="shared" si="97"/>
        <v>86.326383355892361</v>
      </c>
      <c r="BK27" s="43">
        <f t="shared" si="98"/>
        <v>60.128189397352998</v>
      </c>
      <c r="BL27">
        <f t="shared" si="99"/>
        <v>76.379032058777213</v>
      </c>
      <c r="BM27" s="43">
        <f t="shared" si="100"/>
        <v>59.868180181304204</v>
      </c>
    </row>
    <row r="28" spans="1:65" x14ac:dyDescent="0.25">
      <c r="A28" t="s">
        <v>127</v>
      </c>
      <c r="B28" s="12">
        <f>Isl</f>
        <v>2.9999999999999997E-5</v>
      </c>
      <c r="C28" s="2" t="s">
        <v>11</v>
      </c>
      <c r="E28" t="s">
        <v>179</v>
      </c>
      <c r="N28" s="9">
        <v>10</v>
      </c>
      <c r="O28" s="34">
        <f t="shared" si="62"/>
        <v>12.58925411794168</v>
      </c>
      <c r="P28" s="33" t="str">
        <f t="shared" si="50"/>
        <v>54,631621870174</v>
      </c>
      <c r="Q28" s="4" t="str">
        <f t="shared" si="63"/>
        <v>1+0,630530811596878i</v>
      </c>
      <c r="R28" s="4">
        <f t="shared" si="64"/>
        <v>1.1821882694279358</v>
      </c>
      <c r="S28" s="4">
        <f t="shared" si="65"/>
        <v>0.56256664548779878</v>
      </c>
      <c r="T28" s="4" t="str">
        <f t="shared" si="51"/>
        <v>1+0,00158201233004403i</v>
      </c>
      <c r="U28" s="4">
        <f t="shared" si="66"/>
        <v>1.0000012513807233</v>
      </c>
      <c r="V28" s="4">
        <f t="shared" si="67"/>
        <v>1.5820110102453635E-3</v>
      </c>
      <c r="W28" t="str">
        <f t="shared" si="52"/>
        <v>1-0,000314768155750495i</v>
      </c>
      <c r="X28" s="4">
        <f t="shared" si="68"/>
        <v>1.0000000495394947</v>
      </c>
      <c r="Y28" s="4">
        <f t="shared" si="69"/>
        <v>-3.1476814535485846E-4</v>
      </c>
      <c r="Z28" t="str">
        <f t="shared" si="53"/>
        <v>0,999999999366043+0,0000432465987418577i</v>
      </c>
      <c r="AA28" s="4">
        <f t="shared" si="70"/>
        <v>1.0000000003011771</v>
      </c>
      <c r="AB28" s="4">
        <f t="shared" si="71"/>
        <v>4.3246598742313269E-5</v>
      </c>
      <c r="AC28" s="47" t="str">
        <f t="shared" si="72"/>
        <v>39,1206522648378-24,5999076512905i</v>
      </c>
      <c r="AD28" s="20">
        <f t="shared" si="73"/>
        <v>33.295160259849716</v>
      </c>
      <c r="AE28" s="43">
        <f t="shared" si="74"/>
        <v>-32.162564661093143</v>
      </c>
      <c r="AF28" t="str">
        <f t="shared" si="54"/>
        <v>171,265703090588</v>
      </c>
      <c r="AG28" t="str">
        <f t="shared" si="55"/>
        <v>1+0,624496620735694i</v>
      </c>
      <c r="AH28">
        <f t="shared" si="75"/>
        <v>1.1789809283064341</v>
      </c>
      <c r="AI28">
        <f t="shared" si="76"/>
        <v>0.55823725285257519</v>
      </c>
      <c r="AJ28" t="str">
        <f t="shared" si="56"/>
        <v>1+0,00158201233004403i</v>
      </c>
      <c r="AK28">
        <f t="shared" si="77"/>
        <v>1.0000012513807233</v>
      </c>
      <c r="AL28">
        <f t="shared" si="78"/>
        <v>1.5820110102453635E-3</v>
      </c>
      <c r="AM28" t="str">
        <f t="shared" si="57"/>
        <v>1-0,0000994461341510891i</v>
      </c>
      <c r="AN28">
        <f t="shared" si="79"/>
        <v>1.0000000049447668</v>
      </c>
      <c r="AO28">
        <f t="shared" si="80"/>
        <v>-9.9446133823263814E-5</v>
      </c>
      <c r="AP28" s="41" t="str">
        <f t="shared" si="81"/>
        <v>123,327185164202-76,7634976379712i</v>
      </c>
      <c r="AQ28">
        <f t="shared" si="82"/>
        <v>43.243283351628577</v>
      </c>
      <c r="AR28" s="43">
        <f t="shared" si="83"/>
        <v>-31.899693845156538</v>
      </c>
      <c r="AS28" t="str">
        <f t="shared" si="58"/>
        <v>-0,0000166666666666667</v>
      </c>
      <c r="AT28" t="str">
        <f t="shared" si="59"/>
        <v>1,2039113831635E-07i</v>
      </c>
      <c r="AU28">
        <f t="shared" si="84"/>
        <v>1.2039113831635E-7</v>
      </c>
      <c r="AV28">
        <f t="shared" si="85"/>
        <v>1.5707963267948966</v>
      </c>
      <c r="AW28" t="str">
        <f t="shared" si="60"/>
        <v>1+0,000377313059005244i</v>
      </c>
      <c r="AX28">
        <f t="shared" si="86"/>
        <v>1.0000000711825698</v>
      </c>
      <c r="AY28">
        <f t="shared" si="87"/>
        <v>3.7731304109983615E-4</v>
      </c>
      <c r="AZ28" t="str">
        <f t="shared" si="61"/>
        <v>1+0,0261032034457264i</v>
      </c>
      <c r="BA28">
        <f t="shared" si="88"/>
        <v>1.0003406306004616</v>
      </c>
      <c r="BB28">
        <f t="shared" si="89"/>
        <v>2.6097277158872834E-2</v>
      </c>
      <c r="BC28" s="41" t="str">
        <f t="shared" si="90"/>
        <v>-3,56143138717459+138,438997074866i</v>
      </c>
      <c r="BD28">
        <f t="shared" si="91"/>
        <v>42.828042134198782</v>
      </c>
      <c r="BE28" s="43">
        <f t="shared" si="92"/>
        <v>91.473645393176298</v>
      </c>
      <c r="BF28" s="41" t="str">
        <f t="shared" si="93"/>
        <v>3266,26102451624+5503,43474768963i</v>
      </c>
      <c r="BG28" s="20">
        <f t="shared" si="94"/>
        <v>76.123202394048491</v>
      </c>
      <c r="BH28" s="43">
        <f t="shared" si="95"/>
        <v>59.311080732083177</v>
      </c>
      <c r="BI28" s="41" t="str">
        <f t="shared" si="96"/>
        <v>10187,8403168239+17346,6797560756i</v>
      </c>
      <c r="BJ28" s="20">
        <f t="shared" si="97"/>
        <v>86.071325485827373</v>
      </c>
      <c r="BK28" s="43">
        <f t="shared" si="98"/>
        <v>59.573951548019771</v>
      </c>
      <c r="BL28">
        <f t="shared" si="99"/>
        <v>76.123202394048491</v>
      </c>
      <c r="BM28" s="43">
        <f t="shared" si="100"/>
        <v>59.311080732083177</v>
      </c>
    </row>
    <row r="29" spans="1:65" x14ac:dyDescent="0.25">
      <c r="A29" t="s">
        <v>491</v>
      </c>
      <c r="B29" s="12">
        <f>Vsl</f>
        <v>4.4999999999999998E-2</v>
      </c>
      <c r="C29" s="2"/>
      <c r="N29" s="9">
        <v>11</v>
      </c>
      <c r="O29" s="34">
        <f t="shared" si="62"/>
        <v>12.882495516931346</v>
      </c>
      <c r="P29" s="33" t="str">
        <f t="shared" si="50"/>
        <v>54,631621870174</v>
      </c>
      <c r="Q29" s="4" t="str">
        <f t="shared" si="63"/>
        <v>1+0,645217760924181i</v>
      </c>
      <c r="R29" s="4">
        <f t="shared" si="64"/>
        <v>1.1900865342537128</v>
      </c>
      <c r="S29" s="4">
        <f t="shared" si="65"/>
        <v>0.57300601566761322</v>
      </c>
      <c r="T29" s="4" t="str">
        <f t="shared" si="51"/>
        <v>1+0,0016188621310358i</v>
      </c>
      <c r="U29" s="4">
        <f t="shared" si="66"/>
        <v>1.0000013103564411</v>
      </c>
      <c r="V29" s="4">
        <f t="shared" si="67"/>
        <v>1.6188607168461501E-3</v>
      </c>
      <c r="W29" t="str">
        <f t="shared" si="52"/>
        <v>1-0,000322100047972618i</v>
      </c>
      <c r="X29" s="4">
        <f t="shared" si="68"/>
        <v>1.0000000518742191</v>
      </c>
      <c r="Y29" s="4">
        <f t="shared" si="69"/>
        <v>-3.2210003683349277E-4</v>
      </c>
      <c r="Z29" t="str">
        <f t="shared" si="53"/>
        <v>0,999999999336165+0,0000442539414325206i</v>
      </c>
      <c r="AA29" s="4">
        <f t="shared" si="70"/>
        <v>1.0000000003153706</v>
      </c>
      <c r="AB29" s="4">
        <f t="shared" si="71"/>
        <v>4.4253941433008771E-5</v>
      </c>
      <c r="AC29" s="47" t="str">
        <f t="shared" si="72"/>
        <v>38,604514157991-24,8398916367527i</v>
      </c>
      <c r="AD29" s="20">
        <f t="shared" si="73"/>
        <v>33.237322880740841</v>
      </c>
      <c r="AE29" s="43">
        <f t="shared" si="74"/>
        <v>-32.759062983428997</v>
      </c>
      <c r="AF29" t="str">
        <f t="shared" si="54"/>
        <v>171,265703090588</v>
      </c>
      <c r="AG29" t="str">
        <f t="shared" si="55"/>
        <v>1+0,639043015701847i</v>
      </c>
      <c r="AH29">
        <f t="shared" si="75"/>
        <v>1.1867501741804427</v>
      </c>
      <c r="AI29">
        <f t="shared" si="76"/>
        <v>0.56863399122799629</v>
      </c>
      <c r="AJ29" t="str">
        <f t="shared" si="56"/>
        <v>1+0,0016188621310358i</v>
      </c>
      <c r="AK29">
        <f t="shared" si="77"/>
        <v>1.0000013103564411</v>
      </c>
      <c r="AL29">
        <f t="shared" si="78"/>
        <v>1.6188607168461501E-3</v>
      </c>
      <c r="AM29" t="str">
        <f t="shared" si="57"/>
        <v>1-0,000101762532186221i</v>
      </c>
      <c r="AN29">
        <f t="shared" si="79"/>
        <v>1.0000000051778064</v>
      </c>
      <c r="AO29">
        <f t="shared" si="80"/>
        <v>-1.0176253183494986E-4</v>
      </c>
      <c r="AP29" s="41" t="str">
        <f t="shared" si="81"/>
        <v>121,723016402297-77,5264163525941i</v>
      </c>
      <c r="AQ29">
        <f t="shared" si="82"/>
        <v>43.186233379682342</v>
      </c>
      <c r="AR29" s="43">
        <f t="shared" si="83"/>
        <v>-32.493404461935249</v>
      </c>
      <c r="AS29" t="str">
        <f t="shared" si="58"/>
        <v>-0,0000166666666666667</v>
      </c>
      <c r="AT29" t="str">
        <f t="shared" si="59"/>
        <v>1,23195408171824E-07i</v>
      </c>
      <c r="AU29">
        <f t="shared" si="84"/>
        <v>1.23195408171824E-7</v>
      </c>
      <c r="AV29">
        <f t="shared" si="85"/>
        <v>1.5707963267948966</v>
      </c>
      <c r="AW29" t="str">
        <f t="shared" si="60"/>
        <v>1+0,00038610180917608i</v>
      </c>
      <c r="AX29">
        <f t="shared" si="86"/>
        <v>1.0000000745373008</v>
      </c>
      <c r="AY29">
        <f t="shared" si="87"/>
        <v>3.8610178999008991E-4</v>
      </c>
      <c r="AZ29" t="str">
        <f t="shared" si="61"/>
        <v>1+0,0267112251620907i</v>
      </c>
      <c r="BA29">
        <f t="shared" si="88"/>
        <v>1.0003566811641036</v>
      </c>
      <c r="BB29">
        <f t="shared" si="89"/>
        <v>2.670487515359735E-2</v>
      </c>
      <c r="BC29" s="41" t="str">
        <f t="shared" si="90"/>
        <v>-3,56143136327931+135,287802661917i</v>
      </c>
      <c r="BD29">
        <f t="shared" si="91"/>
        <v>42.628181469894031</v>
      </c>
      <c r="BE29" s="43">
        <f t="shared" si="92"/>
        <v>91.507954635696024</v>
      </c>
      <c r="BF29" s="41" t="str">
        <f t="shared" si="93"/>
        <v>3223,04703040997+5311,18546240106i</v>
      </c>
      <c r="BG29" s="20">
        <f t="shared" si="94"/>
        <v>75.865504350634879</v>
      </c>
      <c r="BH29" s="43">
        <f t="shared" si="95"/>
        <v>58.748891652267062</v>
      </c>
      <c r="BI29" s="41" t="str">
        <f t="shared" si="96"/>
        <v>10054,8703483473+16743,744433128i</v>
      </c>
      <c r="BJ29" s="20">
        <f t="shared" si="97"/>
        <v>85.81441484957638</v>
      </c>
      <c r="BK29" s="43">
        <f t="shared" si="98"/>
        <v>59.014550173760647</v>
      </c>
      <c r="BL29">
        <f t="shared" si="99"/>
        <v>75.865504350634879</v>
      </c>
      <c r="BM29" s="43">
        <f t="shared" si="100"/>
        <v>58.748891652267062</v>
      </c>
    </row>
    <row r="30" spans="1:65" x14ac:dyDescent="0.25">
      <c r="A30" t="s">
        <v>201</v>
      </c>
      <c r="B30" s="12">
        <f>Gcomp</f>
        <v>1</v>
      </c>
      <c r="C30" s="2"/>
      <c r="E30" t="s">
        <v>202</v>
      </c>
      <c r="N30" s="9">
        <v>12</v>
      </c>
      <c r="O30" s="34">
        <f t="shared" si="62"/>
        <v>13.182567385564075</v>
      </c>
      <c r="P30" s="33" t="str">
        <f t="shared" si="50"/>
        <v>54,631621870174</v>
      </c>
      <c r="Q30" s="4" t="str">
        <f t="shared" si="63"/>
        <v>1+0,660246813248794i</v>
      </c>
      <c r="R30" s="4">
        <f t="shared" si="64"/>
        <v>1.1983012369204948</v>
      </c>
      <c r="S30" s="4">
        <f t="shared" si="65"/>
        <v>0.58354491089729466</v>
      </c>
      <c r="T30" s="4" t="str">
        <f t="shared" si="51"/>
        <v>1+0,00165657027415762i</v>
      </c>
      <c r="U30" s="4">
        <f t="shared" si="66"/>
        <v>1.0000013721115952</v>
      </c>
      <c r="V30" s="4">
        <f t="shared" si="67"/>
        <v>1.656568758826221E-3</v>
      </c>
      <c r="W30" t="str">
        <f t="shared" si="52"/>
        <v>1-0,000329602721903675i</v>
      </c>
      <c r="X30" s="4">
        <f t="shared" si="68"/>
        <v>1.0000000543189755</v>
      </c>
      <c r="Y30" s="4">
        <f t="shared" si="69"/>
        <v>-3.2960270996788729E-4</v>
      </c>
      <c r="Z30" t="str">
        <f t="shared" si="53"/>
        <v>0,99999999930488+0,0000452847481487013i</v>
      </c>
      <c r="AA30" s="4">
        <f t="shared" si="70"/>
        <v>1.0000000003302343</v>
      </c>
      <c r="AB30" s="4">
        <f t="shared" si="71"/>
        <v>4.5284748149224357E-5</v>
      </c>
      <c r="AC30" s="47" t="str">
        <f t="shared" si="72"/>
        <v>38,0784881701892-25,0711800588354i</v>
      </c>
      <c r="AD30" s="20">
        <f t="shared" si="73"/>
        <v>33.177574110271649</v>
      </c>
      <c r="AE30" s="43">
        <f t="shared" si="74"/>
        <v>-33.361225621541202</v>
      </c>
      <c r="AF30" t="str">
        <f t="shared" si="54"/>
        <v>171,265703090588</v>
      </c>
      <c r="AG30" t="str">
        <f t="shared" si="55"/>
        <v>1+0,65392823973366i</v>
      </c>
      <c r="AH30">
        <f t="shared" si="75"/>
        <v>1.1948314285794306</v>
      </c>
      <c r="AI30">
        <f t="shared" si="76"/>
        <v>0.57913176985857262</v>
      </c>
      <c r="AJ30" t="str">
        <f t="shared" si="56"/>
        <v>1+0,00165657027415762i</v>
      </c>
      <c r="AK30">
        <f t="shared" si="77"/>
        <v>1.0000013721115952</v>
      </c>
      <c r="AL30">
        <f t="shared" si="78"/>
        <v>1.656568758826221E-3</v>
      </c>
      <c r="AM30" t="str">
        <f t="shared" si="57"/>
        <v>1-0,000104132886062905i</v>
      </c>
      <c r="AN30">
        <f t="shared" si="79"/>
        <v>1.000000005421829</v>
      </c>
      <c r="AO30">
        <f t="shared" si="80"/>
        <v>-1.041328856865112E-4</v>
      </c>
      <c r="AP30" s="41" t="str">
        <f t="shared" si="81"/>
        <v>120,087517189803-78,2627394491376i</v>
      </c>
      <c r="AQ30">
        <f t="shared" si="82"/>
        <v>43.127287247493264</v>
      </c>
      <c r="AR30" s="43">
        <f t="shared" si="83"/>
        <v>-33.092858171342385</v>
      </c>
      <c r="AS30" t="str">
        <f t="shared" si="58"/>
        <v>-0,0000166666666666667</v>
      </c>
      <c r="AT30" t="str">
        <f t="shared" si="59"/>
        <v>1,26064997863395E-07i</v>
      </c>
      <c r="AU30">
        <f t="shared" si="84"/>
        <v>1.26064997863395E-7</v>
      </c>
      <c r="AV30">
        <f t="shared" si="85"/>
        <v>1.5707963267948966</v>
      </c>
      <c r="AW30" t="str">
        <f t="shared" si="60"/>
        <v>1+0,000395095275636804i</v>
      </c>
      <c r="AX30">
        <f t="shared" si="86"/>
        <v>1.0000000780501355</v>
      </c>
      <c r="AY30">
        <f t="shared" si="87"/>
        <v>3.9509525507864531E-4</v>
      </c>
      <c r="AZ30" t="str">
        <f t="shared" si="61"/>
        <v>1+0,0273334095236007i</v>
      </c>
      <c r="BA30">
        <f t="shared" si="88"/>
        <v>1.0003734878914898</v>
      </c>
      <c r="BB30">
        <f t="shared" si="89"/>
        <v>2.7326605504104085E-2</v>
      </c>
      <c r="BC30" s="41" t="str">
        <f t="shared" si="90"/>
        <v>-3,56143133825786+132,208339632683i</v>
      </c>
      <c r="BD30">
        <f t="shared" si="91"/>
        <v>42.428327367485039</v>
      </c>
      <c r="BE30" s="43">
        <f t="shared" si="92"/>
        <v>91.543061873182481</v>
      </c>
      <c r="BF30" s="41" t="str">
        <f t="shared" si="93"/>
        <v>3179,00516712787+5123,58298305212i</v>
      </c>
      <c r="BG30" s="20">
        <f t="shared" si="94"/>
        <v>75.605901477756689</v>
      </c>
      <c r="BH30" s="43">
        <f t="shared" si="95"/>
        <v>58.181836251641265</v>
      </c>
      <c r="BI30" s="41" t="str">
        <f t="shared" si="96"/>
        <v>9919,30339062242+16155,2986311672i</v>
      </c>
      <c r="BJ30" s="20">
        <f t="shared" si="97"/>
        <v>85.55561461497831</v>
      </c>
      <c r="BK30" s="43">
        <f t="shared" si="98"/>
        <v>58.450203701840096</v>
      </c>
      <c r="BL30">
        <f t="shared" si="99"/>
        <v>75.605901477756689</v>
      </c>
      <c r="BM30" s="43">
        <f t="shared" si="100"/>
        <v>58.181836251641265</v>
      </c>
    </row>
    <row r="31" spans="1:65" x14ac:dyDescent="0.25">
      <c r="A31" t="s">
        <v>481</v>
      </c>
      <c r="B31">
        <f>IF(Variable_Management!B20=3,1,IF((VOUT*IOUT)/(VIN_var*Np)&lt;((VIN_var*(1-(VIN_var/VOUT)))/(2*Lm*Fsw)),0,1))</f>
        <v>1</v>
      </c>
      <c r="E31" t="s">
        <v>482</v>
      </c>
      <c r="N31" s="9">
        <v>13</v>
      </c>
      <c r="O31" s="34">
        <f t="shared" si="62"/>
        <v>13.489628825916535</v>
      </c>
      <c r="P31" s="33" t="str">
        <f t="shared" si="50"/>
        <v>54,631621870174</v>
      </c>
      <c r="Q31" s="4" t="str">
        <f t="shared" si="63"/>
        <v>1+0,67562593717319i</v>
      </c>
      <c r="R31" s="4">
        <f t="shared" si="64"/>
        <v>1.2068431575731584</v>
      </c>
      <c r="S31" s="4">
        <f t="shared" si="65"/>
        <v>0.59417955456220994</v>
      </c>
      <c r="T31" s="4" t="str">
        <f t="shared" si="51"/>
        <v>1+0,0016951567527661i</v>
      </c>
      <c r="U31" s="4">
        <f t="shared" si="66"/>
        <v>1.0000014367771761</v>
      </c>
      <c r="V31" s="4">
        <f t="shared" si="67"/>
        <v>1.6951551290593783E-3</v>
      </c>
      <c r="W31" t="str">
        <f t="shared" si="52"/>
        <v>1-0,000337280155560692i</v>
      </c>
      <c r="X31" s="4">
        <f t="shared" si="68"/>
        <v>1.00000005687895</v>
      </c>
      <c r="Y31" s="4">
        <f t="shared" si="69"/>
        <v>-3.372801427712651E-4</v>
      </c>
      <c r="Z31" t="str">
        <f t="shared" si="53"/>
        <v>0,99999999927212+0,0000463395654377649i</v>
      </c>
      <c r="AA31" s="4">
        <f t="shared" si="70"/>
        <v>1.0000000003457976</v>
      </c>
      <c r="AB31" s="4">
        <f t="shared" si="71"/>
        <v>4.6339565438325371E-5</v>
      </c>
      <c r="AC31" s="47" t="str">
        <f t="shared" si="72"/>
        <v>37,5428609763371-25,2932792376632i</v>
      </c>
      <c r="AD31" s="20">
        <f t="shared" si="73"/>
        <v>33.115878196988461</v>
      </c>
      <c r="AE31" s="43">
        <f t="shared" si="74"/>
        <v>-33.968835305081186</v>
      </c>
      <c r="AF31" t="str">
        <f t="shared" si="54"/>
        <v>171,265703090588</v>
      </c>
      <c r="AG31" t="str">
        <f t="shared" si="55"/>
        <v>1+0,669160185173944i</v>
      </c>
      <c r="AH31">
        <f t="shared" si="75"/>
        <v>1.2032353690870408</v>
      </c>
      <c r="AI31">
        <f t="shared" si="76"/>
        <v>0.58972689946615375</v>
      </c>
      <c r="AJ31" t="str">
        <f t="shared" si="56"/>
        <v>1+0,0016951567527661i</v>
      </c>
      <c r="AK31">
        <f t="shared" si="77"/>
        <v>1.0000014367771761</v>
      </c>
      <c r="AL31">
        <f t="shared" si="78"/>
        <v>1.6951551290593783E-3</v>
      </c>
      <c r="AM31" t="str">
        <f t="shared" si="57"/>
        <v>1-0,000106558452574141i</v>
      </c>
      <c r="AN31">
        <f t="shared" si="79"/>
        <v>1.0000000056773519</v>
      </c>
      <c r="AO31">
        <f t="shared" si="80"/>
        <v>-1.0655845217082778E-4</v>
      </c>
      <c r="AP31" s="41" t="str">
        <f t="shared" si="81"/>
        <v>118,421544918841-78,9709105216655i</v>
      </c>
      <c r="AQ31">
        <f t="shared" si="82"/>
        <v>43.066408774430812</v>
      </c>
      <c r="AR31" s="43">
        <f t="shared" si="83"/>
        <v>-33.697842519812262</v>
      </c>
      <c r="AS31" t="str">
        <f t="shared" si="58"/>
        <v>-0,0000166666666666667</v>
      </c>
      <c r="AT31" t="str">
        <f t="shared" si="59"/>
        <v>0,0000001290014288855i</v>
      </c>
      <c r="AU31">
        <f t="shared" si="84"/>
        <v>1.2900142888549999E-7</v>
      </c>
      <c r="AV31">
        <f t="shared" si="85"/>
        <v>1.5707963267948966</v>
      </c>
      <c r="AW31" t="str">
        <f t="shared" si="60"/>
        <v>1+0,000404298226842375i</v>
      </c>
      <c r="AX31">
        <f t="shared" si="86"/>
        <v>1.0000000817285248</v>
      </c>
      <c r="AY31">
        <f t="shared" si="87"/>
        <v>4.0429820481391115E-4</v>
      </c>
      <c r="AZ31" t="str">
        <f t="shared" si="61"/>
        <v>1+0,0279700864206407i</v>
      </c>
      <c r="BA31">
        <f t="shared" si="88"/>
        <v>1.0003910863929057</v>
      </c>
      <c r="BB31">
        <f t="shared" si="89"/>
        <v>2.7962795936321741E-2</v>
      </c>
      <c r="BC31" s="41" t="str">
        <f t="shared" si="90"/>
        <v>-3,56143131205722+129,198975215107i</v>
      </c>
      <c r="BD31">
        <f t="shared" si="91"/>
        <v>42.22848013576251</v>
      </c>
      <c r="BE31" s="43">
        <f t="shared" si="92"/>
        <v>91.57898560973625</v>
      </c>
      <c r="BF31" s="41" t="str">
        <f t="shared" si="93"/>
        <v>3134,15943671029+4940,57944144761i</v>
      </c>
      <c r="BG31" s="20">
        <f t="shared" si="94"/>
        <v>75.344358332750986</v>
      </c>
      <c r="BH31" s="43">
        <f t="shared" si="95"/>
        <v>57.6101503046551</v>
      </c>
      <c r="BI31" s="41" t="str">
        <f t="shared" si="96"/>
        <v>9781,21051310694+15581,1917203775i</v>
      </c>
      <c r="BJ31" s="20">
        <f t="shared" si="97"/>
        <v>85.294888910193322</v>
      </c>
      <c r="BK31" s="43">
        <f t="shared" si="98"/>
        <v>57.881143089923924</v>
      </c>
      <c r="BL31">
        <f t="shared" si="99"/>
        <v>75.344358332750986</v>
      </c>
      <c r="BM31" s="43">
        <f t="shared" si="100"/>
        <v>57.6101503046551</v>
      </c>
    </row>
    <row r="32" spans="1:65" ht="15.75" x14ac:dyDescent="0.25">
      <c r="A32" s="35" t="s">
        <v>476</v>
      </c>
      <c r="E32" s="31" t="s">
        <v>500</v>
      </c>
      <c r="N32" s="9">
        <v>14</v>
      </c>
      <c r="O32" s="34">
        <f t="shared" si="62"/>
        <v>13.803842646028857</v>
      </c>
      <c r="P32" s="33" t="str">
        <f t="shared" si="50"/>
        <v>54,631621870174</v>
      </c>
      <c r="Q32" s="4" t="str">
        <f t="shared" si="63"/>
        <v>1+0,691363286912443i</v>
      </c>
      <c r="R32" s="4">
        <f t="shared" si="64"/>
        <v>1.2157233215211334</v>
      </c>
      <c r="S32" s="4">
        <f t="shared" si="65"/>
        <v>0.60490596335075308</v>
      </c>
      <c r="T32" s="4" t="str">
        <f t="shared" si="51"/>
        <v>1+0,00173464202592295i</v>
      </c>
      <c r="U32" s="4">
        <f t="shared" si="66"/>
        <v>1.0000015044903474</v>
      </c>
      <c r="V32" s="4">
        <f t="shared" si="67"/>
        <v>1.734640286089993E-3</v>
      </c>
      <c r="W32" t="str">
        <f t="shared" si="52"/>
        <v>1-0,000345136419620619i</v>
      </c>
      <c r="X32" s="4">
        <f t="shared" si="68"/>
        <v>1.0000000595595724</v>
      </c>
      <c r="Y32" s="4">
        <f t="shared" si="69"/>
        <v>-3.4513640591650121E-4</v>
      </c>
      <c r="Z32" t="str">
        <f t="shared" si="53"/>
        <v>0,999999999237816+0,0000474189525778002i</v>
      </c>
      <c r="AA32" s="4">
        <f t="shared" si="70"/>
        <v>1.0000000003620944</v>
      </c>
      <c r="AB32" s="4">
        <f t="shared" si="71"/>
        <v>4.7418952578400761E-5</v>
      </c>
      <c r="AC32" s="47" t="str">
        <f t="shared" si="72"/>
        <v>36,9979505254135-25,5057043153525i</v>
      </c>
      <c r="AD32" s="20">
        <f t="shared" si="73"/>
        <v>33.052200498392239</v>
      </c>
      <c r="AE32" s="43">
        <f t="shared" si="74"/>
        <v>-34.581662900194146</v>
      </c>
      <c r="AF32" t="str">
        <f t="shared" si="54"/>
        <v>171,265703090588</v>
      </c>
      <c r="AG32" t="str">
        <f t="shared" si="55"/>
        <v>1+0,684746928201789i</v>
      </c>
      <c r="AH32">
        <f t="shared" si="75"/>
        <v>1.2119729187080814</v>
      </c>
      <c r="AI32">
        <f t="shared" si="76"/>
        <v>0.60041548260412114</v>
      </c>
      <c r="AJ32" t="str">
        <f t="shared" si="56"/>
        <v>1+0,00173464202592295i</v>
      </c>
      <c r="AK32">
        <f t="shared" si="77"/>
        <v>1.0000015044903474</v>
      </c>
      <c r="AL32">
        <f t="shared" si="78"/>
        <v>1.734640286089993E-3</v>
      </c>
      <c r="AM32" t="str">
        <f t="shared" si="57"/>
        <v>1-0,000109040517787399i</v>
      </c>
      <c r="AN32">
        <f t="shared" si="79"/>
        <v>1.0000000059449172</v>
      </c>
      <c r="AO32">
        <f t="shared" si="80"/>
        <v>-1.090405173552411E-4</v>
      </c>
      <c r="AP32" s="41" t="str">
        <f t="shared" si="81"/>
        <v>116,726054997587-79,649397815475i</v>
      </c>
      <c r="AQ32">
        <f t="shared" si="82"/>
        <v>43.003562840902063</v>
      </c>
      <c r="AR32" s="43">
        <f t="shared" si="83"/>
        <v>-34.30813310160076</v>
      </c>
      <c r="AS32" t="str">
        <f t="shared" si="58"/>
        <v>-0,0000166666666666667</v>
      </c>
      <c r="AT32" t="str">
        <f t="shared" si="59"/>
        <v>1,32006258172736E-07i</v>
      </c>
      <c r="AU32">
        <f t="shared" si="84"/>
        <v>1.3200625817273599E-7</v>
      </c>
      <c r="AV32">
        <f t="shared" si="85"/>
        <v>1.5707963267948966</v>
      </c>
      <c r="AW32" t="str">
        <f t="shared" si="60"/>
        <v>1+0,000413715542319337i</v>
      </c>
      <c r="AX32">
        <f t="shared" si="86"/>
        <v>1.0000000855802713</v>
      </c>
      <c r="AY32">
        <f t="shared" si="87"/>
        <v>4.1371551871541285E-4</v>
      </c>
      <c r="AZ32" t="str">
        <f t="shared" si="61"/>
        <v>1+0,0286215934277287i</v>
      </c>
      <c r="BA32">
        <f t="shared" si="88"/>
        <v>1.0004095139543316</v>
      </c>
      <c r="BB32">
        <f t="shared" si="89"/>
        <v>2.8613781705734066E-2</v>
      </c>
      <c r="BC32" s="41" t="str">
        <f t="shared" si="90"/>
        <v>-3,56143128462176+126,25811380434i</v>
      </c>
      <c r="BD32">
        <f t="shared" si="91"/>
        <v>42.028640098025257</v>
      </c>
      <c r="BE32" s="43">
        <f t="shared" si="92"/>
        <v>91.615744774505742</v>
      </c>
      <c r="BF32" s="41" t="str">
        <f t="shared" si="93"/>
        <v>3088,53645963953+4762,12826125001i</v>
      </c>
      <c r="BG32" s="20">
        <f t="shared" si="94"/>
        <v>75.080840596417502</v>
      </c>
      <c r="BH32" s="43">
        <f t="shared" si="95"/>
        <v>57.034081874311582</v>
      </c>
      <c r="BI32" s="41" t="str">
        <f t="shared" si="96"/>
        <v>9640,67090983451+15021,2773929983i</v>
      </c>
      <c r="BJ32" s="20">
        <f t="shared" si="97"/>
        <v>85.032202938927313</v>
      </c>
      <c r="BK32" s="43">
        <f t="shared" si="98"/>
        <v>57.307611672904955</v>
      </c>
      <c r="BL32">
        <f t="shared" si="99"/>
        <v>75.080840596417502</v>
      </c>
      <c r="BM32" s="43">
        <f t="shared" si="100"/>
        <v>57.034081874311582</v>
      </c>
    </row>
    <row r="33" spans="1:65" x14ac:dyDescent="0.25">
      <c r="N33" s="9">
        <v>15</v>
      </c>
      <c r="O33" s="34">
        <f t="shared" si="62"/>
        <v>14.125375446227544</v>
      </c>
      <c r="P33" s="33" t="str">
        <f t="shared" si="50"/>
        <v>54,631621870174</v>
      </c>
      <c r="Q33" s="4" t="str">
        <f t="shared" si="63"/>
        <v>1+0,707467206617691i</v>
      </c>
      <c r="R33" s="4">
        <f t="shared" si="64"/>
        <v>1.2249529984613445</v>
      </c>
      <c r="S33" s="4">
        <f t="shared" si="65"/>
        <v>0.61571995146779146</v>
      </c>
      <c r="T33" s="4" t="str">
        <f t="shared" si="51"/>
        <v>1+0,00177504702924264i</v>
      </c>
      <c r="U33" s="4">
        <f t="shared" si="66"/>
        <v>1.0000015753947371</v>
      </c>
      <c r="V33" s="4">
        <f t="shared" si="67"/>
        <v>1.7750451649781974E-3</v>
      </c>
      <c r="W33" t="str">
        <f t="shared" si="52"/>
        <v>1-0,000353175679578649i</v>
      </c>
      <c r="X33" s="4">
        <f t="shared" si="68"/>
        <v>1.0000000623665284</v>
      </c>
      <c r="Y33" s="4">
        <f t="shared" si="69"/>
        <v>-3.5317566489442229E-4</v>
      </c>
      <c r="Z33" t="str">
        <f t="shared" si="53"/>
        <v>0,999999999201895+0,0000485234818741564i</v>
      </c>
      <c r="AA33" s="4">
        <f t="shared" si="70"/>
        <v>1.0000000003791589</v>
      </c>
      <c r="AB33" s="4">
        <f t="shared" si="71"/>
        <v>4.8523481874799926E-5</v>
      </c>
      <c r="AC33" s="47" t="str">
        <f t="shared" si="72"/>
        <v>36,4441058917336-25,7079815732756i</v>
      </c>
      <c r="AD33" s="20">
        <f t="shared" si="73"/>
        <v>32.986507595441246</v>
      </c>
      <c r="AE33" s="43">
        <f t="shared" si="74"/>
        <v>-35.199467650449897</v>
      </c>
      <c r="AF33" t="str">
        <f t="shared" si="54"/>
        <v>171,265703090588</v>
      </c>
      <c r="AG33" t="str">
        <f t="shared" si="55"/>
        <v>1+0,700696733114663i</v>
      </c>
      <c r="AH33">
        <f t="shared" si="75"/>
        <v>1.22105524518654</v>
      </c>
      <c r="AI33">
        <f t="shared" si="76"/>
        <v>0.61119341746363087</v>
      </c>
      <c r="AJ33" t="str">
        <f t="shared" si="56"/>
        <v>1+0,00177504702924264i</v>
      </c>
      <c r="AK33">
        <f t="shared" si="77"/>
        <v>1.0000015753947371</v>
      </c>
      <c r="AL33">
        <f t="shared" si="78"/>
        <v>1.7750451649781974E-3</v>
      </c>
      <c r="AM33" t="str">
        <f t="shared" si="57"/>
        <v>1-0,000111580397726511i</v>
      </c>
      <c r="AN33">
        <f t="shared" si="79"/>
        <v>1.0000000062250924</v>
      </c>
      <c r="AO33">
        <f t="shared" si="80"/>
        <v>-1.1158039726344546E-4</v>
      </c>
      <c r="AP33" s="41" t="str">
        <f t="shared" si="81"/>
        <v>115,002100636225-80,296701434912i</v>
      </c>
      <c r="AQ33">
        <f t="shared" si="82"/>
        <v>42.938715503020298</v>
      </c>
      <c r="AR33" s="43">
        <f t="shared" si="83"/>
        <v>-34.92349377628463</v>
      </c>
      <c r="AS33" t="str">
        <f t="shared" si="58"/>
        <v>-0,0000166666666666667</v>
      </c>
      <c r="AT33" t="str">
        <f t="shared" si="59"/>
        <v>1,35081078925365E-07i</v>
      </c>
      <c r="AU33">
        <f t="shared" si="84"/>
        <v>1.35081078925365E-7</v>
      </c>
      <c r="AV33">
        <f t="shared" si="85"/>
        <v>1.5707963267948966</v>
      </c>
      <c r="AW33" t="str">
        <f t="shared" si="60"/>
        <v>1+0,000423352215253009i</v>
      </c>
      <c r="AX33">
        <f t="shared" si="86"/>
        <v>1.000000089613545</v>
      </c>
      <c r="AY33">
        <f t="shared" si="87"/>
        <v>4.2335218996094871E-4</v>
      </c>
      <c r="AZ33" t="str">
        <f t="shared" si="61"/>
        <v>1+0,0292882759825036i</v>
      </c>
      <c r="BA33">
        <f t="shared" si="88"/>
        <v>1.0004288096161702</v>
      </c>
      <c r="BB33">
        <f t="shared" si="89"/>
        <v>2.9279905765338728E-2</v>
      </c>
      <c r="BC33" s="41" t="str">
        <f t="shared" si="90"/>
        <v>-3,56143125589329+123,384196116734i</v>
      </c>
      <c r="BD33">
        <f t="shared" si="91"/>
        <v>41.828807592759844</v>
      </c>
      <c r="BE33" s="43">
        <f t="shared" si="92"/>
        <v>91.653358731162271</v>
      </c>
      <c r="BF33" s="41" t="str">
        <f t="shared" si="93"/>
        <v>3042,16546238652+4588,18391774567i</v>
      </c>
      <c r="BG33" s="20">
        <f t="shared" si="94"/>
        <v>74.815315188201083</v>
      </c>
      <c r="BH33" s="43">
        <f t="shared" si="95"/>
        <v>56.453891080712339</v>
      </c>
      <c r="BI33" s="41" t="str">
        <f t="shared" si="96"/>
        <v>9497,77188167278+14475,4129209718i</v>
      </c>
      <c r="BJ33" s="20">
        <f t="shared" si="97"/>
        <v>84.767523095780149</v>
      </c>
      <c r="BK33" s="43">
        <f t="shared" si="98"/>
        <v>56.729864954877669</v>
      </c>
      <c r="BL33">
        <f t="shared" si="99"/>
        <v>74.815315188201083</v>
      </c>
      <c r="BM33" s="43">
        <f t="shared" si="100"/>
        <v>56.453891080712339</v>
      </c>
    </row>
    <row r="34" spans="1:65" x14ac:dyDescent="0.25">
      <c r="A34" t="s">
        <v>494</v>
      </c>
      <c r="B34">
        <f>(R_cs*Acs/(2*Lm*Fsw))*(1-(VIN_var/VOUT))*(VIN_var/VOUT)</f>
        <v>8.1666521093545286E-4</v>
      </c>
      <c r="E34" t="s">
        <v>497</v>
      </c>
      <c r="N34" s="9">
        <v>16</v>
      </c>
      <c r="O34" s="34">
        <f t="shared" si="62"/>
        <v>14.454397707459275</v>
      </c>
      <c r="P34" s="33" t="str">
        <f t="shared" si="50"/>
        <v>54,631621870174</v>
      </c>
      <c r="Q34" s="4" t="str">
        <f t="shared" si="63"/>
        <v>1+0,723946234800323i</v>
      </c>
      <c r="R34" s="4">
        <f t="shared" si="64"/>
        <v>1.2345437014871383</v>
      </c>
      <c r="S34" s="4">
        <f t="shared" si="65"/>
        <v>0.62661713583327261</v>
      </c>
      <c r="T34" s="4" t="str">
        <f t="shared" si="51"/>
        <v>1+0,00181639318599277i</v>
      </c>
      <c r="U34" s="4">
        <f t="shared" si="66"/>
        <v>1.0000016496407425</v>
      </c>
      <c r="V34" s="4">
        <f t="shared" si="67"/>
        <v>1.8163911883976075E-3</v>
      </c>
      <c r="W34" t="str">
        <f t="shared" si="52"/>
        <v>1-0,000361402197956825i</v>
      </c>
      <c r="X34" s="4">
        <f t="shared" si="68"/>
        <v>1.0000000653057721</v>
      </c>
      <c r="Y34" s="4">
        <f t="shared" si="69"/>
        <v>-3.6140218222239265E-4</v>
      </c>
      <c r="Z34" t="str">
        <f t="shared" si="53"/>
        <v>0,999999999164282+0,0000496537389628864i</v>
      </c>
      <c r="AA34" s="4">
        <f t="shared" si="70"/>
        <v>1.0000000003970286</v>
      </c>
      <c r="AB34" s="4">
        <f t="shared" si="71"/>
        <v>4.9653738963575925E-5</v>
      </c>
      <c r="AC34" s="47" t="str">
        <f t="shared" si="72"/>
        <v>35,881706927938-25,8996507774061i</v>
      </c>
      <c r="AD34" s="20">
        <f t="shared" si="73"/>
        <v>32.918767406147275</v>
      </c>
      <c r="AE34" s="43">
        <f t="shared" si="74"/>
        <v>-35.821997474210256</v>
      </c>
      <c r="AF34" t="str">
        <f t="shared" si="54"/>
        <v>171,265703090588</v>
      </c>
      <c r="AG34" t="str">
        <f t="shared" si="55"/>
        <v>1+0,717018056710252i</v>
      </c>
      <c r="AH34">
        <f t="shared" si="75"/>
        <v>1.2304937601014261</v>
      </c>
      <c r="AI34">
        <f t="shared" si="76"/>
        <v>0.62205640265937712</v>
      </c>
      <c r="AJ34" t="str">
        <f t="shared" si="56"/>
        <v>1+0,00181639318599277i</v>
      </c>
      <c r="AK34">
        <f t="shared" si="77"/>
        <v>1.0000016496407425</v>
      </c>
      <c r="AL34">
        <f t="shared" si="78"/>
        <v>1.8163911883976075E-3</v>
      </c>
      <c r="AM34" t="str">
        <f t="shared" si="57"/>
        <v>1-0,000114179439069438i</v>
      </c>
      <c r="AN34">
        <f t="shared" si="79"/>
        <v>1.0000000065184722</v>
      </c>
      <c r="AO34">
        <f t="shared" si="80"/>
        <v>-1.1417943857325434E-4</v>
      </c>
      <c r="AP34" s="41" t="str">
        <f t="shared" si="81"/>
        <v>113,250832021861-80,9113606629569i</v>
      </c>
      <c r="AQ34">
        <f t="shared" si="82"/>
        <v>42.87183410666821</v>
      </c>
      <c r="AR34" s="43">
        <f t="shared" si="83"/>
        <v>-35.543676942370389</v>
      </c>
      <c r="AS34" t="str">
        <f t="shared" si="58"/>
        <v>-0,0000166666666666667</v>
      </c>
      <c r="AT34" t="str">
        <f t="shared" si="59"/>
        <v>1,3822752145405E-07i</v>
      </c>
      <c r="AU34">
        <f t="shared" si="84"/>
        <v>1.3822752145404999E-7</v>
      </c>
      <c r="AV34">
        <f t="shared" si="85"/>
        <v>1.5707963267948966</v>
      </c>
      <c r="AW34" t="str">
        <f t="shared" si="60"/>
        <v>1+0,000433213355134937i</v>
      </c>
      <c r="AX34">
        <f t="shared" si="86"/>
        <v>1.0000000938369011</v>
      </c>
      <c r="AY34">
        <f t="shared" si="87"/>
        <v>4.3321332803400626E-4</v>
      </c>
      <c r="AZ34" t="str">
        <f t="shared" si="61"/>
        <v>1+0,0299704875688807i</v>
      </c>
      <c r="BA34">
        <f t="shared" si="88"/>
        <v>1.0004490142556572</v>
      </c>
      <c r="BB34">
        <f t="shared" si="89"/>
        <v>2.9961518936989017E-2</v>
      </c>
      <c r="BC34" s="41" t="str">
        <f t="shared" si="90"/>
        <v>-3,56143122581091+120,57569836309i</v>
      </c>
      <c r="BD34">
        <f t="shared" si="91"/>
        <v>41.628982974351779</v>
      </c>
      <c r="BE34" s="43">
        <f t="shared" si="92"/>
        <v>91.691847287565594</v>
      </c>
      <c r="BF34" s="41" t="str">
        <f t="shared" si="93"/>
        <v>2995,07824835733+4418,7016963121i</v>
      </c>
      <c r="BG34" s="20">
        <f t="shared" si="94"/>
        <v>74.547750380499053</v>
      </c>
      <c r="BH34" s="43">
        <f t="shared" si="95"/>
        <v>55.869849813355366</v>
      </c>
      <c r="BI34" s="41" t="str">
        <f t="shared" si="96"/>
        <v>9352,60876793216+13943,4584076248i</v>
      </c>
      <c r="BJ34" s="20">
        <f t="shared" si="97"/>
        <v>84.500817081019989</v>
      </c>
      <c r="BK34" s="43">
        <f t="shared" si="98"/>
        <v>56.148170345195204</v>
      </c>
      <c r="BL34">
        <f t="shared" si="99"/>
        <v>74.547750380499053</v>
      </c>
      <c r="BM34" s="43">
        <f t="shared" si="100"/>
        <v>55.869849813355366</v>
      </c>
    </row>
    <row r="35" spans="1:65" x14ac:dyDescent="0.25">
      <c r="A35" t="s">
        <v>495</v>
      </c>
      <c r="B35">
        <f>1/((0.5-(1-(VIN_var/VOUT)))*(R_cs*Acs/(Lm*Fsw))+(Vsl*Acs/VOUT))</f>
        <v>182.90598290598294</v>
      </c>
      <c r="E35" t="s">
        <v>497</v>
      </c>
      <c r="N35" s="9">
        <v>17</v>
      </c>
      <c r="O35" s="34">
        <f t="shared" si="62"/>
        <v>14.791083881682074</v>
      </c>
      <c r="P35" s="33" t="str">
        <f t="shared" si="50"/>
        <v>54,631621870174</v>
      </c>
      <c r="Q35" s="4" t="str">
        <f t="shared" si="63"/>
        <v>1+0,740809108859208i</v>
      </c>
      <c r="R35" s="4">
        <f t="shared" si="64"/>
        <v>1.244507185904836</v>
      </c>
      <c r="S35" s="4">
        <f t="shared" si="65"/>
        <v>0.63759294227384111</v>
      </c>
      <c r="T35" s="4" t="str">
        <f t="shared" si="51"/>
        <v>1+0,00185870241845291i</v>
      </c>
      <c r="U35" s="4">
        <f t="shared" si="66"/>
        <v>1.0000017273858481</v>
      </c>
      <c r="V35" s="4">
        <f t="shared" si="67"/>
        <v>1.858700277991329E-3</v>
      </c>
      <c r="W35" t="str">
        <f t="shared" si="52"/>
        <v>1-0,000369820336564081i</v>
      </c>
      <c r="X35" s="4">
        <f t="shared" si="68"/>
        <v>1.0000000683835384</v>
      </c>
      <c r="Y35" s="4">
        <f t="shared" si="69"/>
        <v>-3.6982031970433303E-4</v>
      </c>
      <c r="Z35" t="str">
        <f t="shared" si="53"/>
        <v>0,999999999124895+0,0000508103231212595i</v>
      </c>
      <c r="AA35" s="4">
        <f t="shared" si="70"/>
        <v>1.0000000004157392</v>
      </c>
      <c r="AB35" s="4">
        <f t="shared" si="71"/>
        <v>5.0810323121998386E-5</v>
      </c>
      <c r="AC35" s="47" t="str">
        <f t="shared" si="72"/>
        <v>35,3111637131924-26,0802675326491i</v>
      </c>
      <c r="AD35" s="20">
        <f t="shared" si="73"/>
        <v>32.848949297525024</v>
      </c>
      <c r="AE35" s="43">
        <f t="shared" si="74"/>
        <v>-36.448989318878574</v>
      </c>
      <c r="AF35" t="str">
        <f t="shared" si="54"/>
        <v>171,265703090588</v>
      </c>
      <c r="AG35" t="str">
        <f t="shared" si="55"/>
        <v>1+0,733719552770365i</v>
      </c>
      <c r="AH35">
        <f t="shared" si="75"/>
        <v>1.2403001177608364</v>
      </c>
      <c r="AI35">
        <f t="shared" si="76"/>
        <v>0.63299994300607043</v>
      </c>
      <c r="AJ35" t="str">
        <f t="shared" si="56"/>
        <v>1+0,00185870241845291i</v>
      </c>
      <c r="AK35">
        <f t="shared" si="77"/>
        <v>1.0000017273858481</v>
      </c>
      <c r="AL35">
        <f t="shared" si="78"/>
        <v>1.858700277991329E-3</v>
      </c>
      <c r="AM35" t="str">
        <f t="shared" si="57"/>
        <v>1-0,000116839019862303i</v>
      </c>
      <c r="AN35">
        <f t="shared" si="79"/>
        <v>1.0000000068256782</v>
      </c>
      <c r="AO35">
        <f t="shared" si="80"/>
        <v>-1.1683901933063263E-4</v>
      </c>
      <c r="AP35" s="41" t="str">
        <f t="shared" si="81"/>
        <v>111,473494859511-81,4919613344229i</v>
      </c>
      <c r="AQ35">
        <f t="shared" si="82"/>
        <v>42.802887400226609</v>
      </c>
      <c r="AR35" s="43">
        <f t="shared" si="83"/>
        <v>-36.168423867650972</v>
      </c>
      <c r="AS35" t="str">
        <f t="shared" si="58"/>
        <v>-0,0000166666666666667</v>
      </c>
      <c r="AT35" t="str">
        <f t="shared" si="59"/>
        <v>1,41447254044267E-07i</v>
      </c>
      <c r="AU35">
        <f t="shared" si="84"/>
        <v>1.41447254044267E-7</v>
      </c>
      <c r="AV35">
        <f t="shared" si="85"/>
        <v>1.5707963267948966</v>
      </c>
      <c r="AW35" t="str">
        <f t="shared" si="60"/>
        <v>1+0,000443304190472015i</v>
      </c>
      <c r="AX35">
        <f t="shared" si="86"/>
        <v>1.0000000982592978</v>
      </c>
      <c r="AY35">
        <f t="shared" si="87"/>
        <v>4.4330416143284468E-4</v>
      </c>
      <c r="AZ35" t="str">
        <f t="shared" si="61"/>
        <v>1+0,030668589904473i</v>
      </c>
      <c r="BA35">
        <f t="shared" si="88"/>
        <v>1.0004701706731334</v>
      </c>
      <c r="BB35">
        <f t="shared" si="89"/>
        <v>3.0658980086160123E-2</v>
      </c>
      <c r="BC35" s="41" t="str">
        <f t="shared" si="90"/>
        <v>-3,56143119431077+117,831131440726i</v>
      </c>
      <c r="BD35">
        <f t="shared" si="91"/>
        <v>41.429166613829722</v>
      </c>
      <c r="BE35" s="43">
        <f t="shared" si="92"/>
        <v>91.731230705621911</v>
      </c>
      <c r="BF35" s="41" t="str">
        <f t="shared" si="93"/>
        <v>2947,3091516933+4253,63745116091i</v>
      </c>
      <c r="BG35" s="20">
        <f t="shared" si="94"/>
        <v>74.278115911354732</v>
      </c>
      <c r="BH35" s="43">
        <f t="shared" si="95"/>
        <v>55.282241386743287</v>
      </c>
      <c r="BI35" s="41" t="str">
        <f t="shared" si="96"/>
        <v>9205,28482542744+13425,2760381301i</v>
      </c>
      <c r="BJ35" s="20">
        <f t="shared" si="97"/>
        <v>84.232054014056317</v>
      </c>
      <c r="BK35" s="43">
        <f t="shared" si="98"/>
        <v>55.562806837970918</v>
      </c>
      <c r="BL35">
        <f t="shared" si="99"/>
        <v>74.278115911354732</v>
      </c>
      <c r="BM35" s="43">
        <f t="shared" si="100"/>
        <v>55.282241386743287</v>
      </c>
    </row>
    <row r="36" spans="1:65" x14ac:dyDescent="0.25">
      <c r="A36" t="s">
        <v>496</v>
      </c>
      <c r="B36">
        <f>2+((VOUT*((VIN_var/VOUT)^2))/(IOUT_VAR*R_cs*Acs))*((1/Km)+(Kex/(VIN_var/VOUT)))</f>
        <v>2.2372065488494872</v>
      </c>
      <c r="E36" t="s">
        <v>497</v>
      </c>
      <c r="N36" s="9">
        <v>18</v>
      </c>
      <c r="O36" s="34">
        <f t="shared" si="62"/>
        <v>15.135612484362087</v>
      </c>
      <c r="P36" s="33" t="str">
        <f t="shared" si="50"/>
        <v>54,631621870174</v>
      </c>
      <c r="Q36" s="4" t="str">
        <f t="shared" si="63"/>
        <v>1+0,758064769713379i</v>
      </c>
      <c r="R36" s="4">
        <f t="shared" si="64"/>
        <v>1.2548554478825831</v>
      </c>
      <c r="S36" s="4">
        <f t="shared" si="65"/>
        <v>0.64864261270703771</v>
      </c>
      <c r="T36" s="4" t="str">
        <f t="shared" si="51"/>
        <v>1+0,00190199715953816i</v>
      </c>
      <c r="U36" s="4">
        <f t="shared" si="66"/>
        <v>1.0000018087949616</v>
      </c>
      <c r="V36" s="4">
        <f t="shared" si="67"/>
        <v>1.9019948659924778E-3</v>
      </c>
      <c r="W36" t="str">
        <f t="shared" si="52"/>
        <v>1-0,000378434558808934i</v>
      </c>
      <c r="X36" s="4">
        <f t="shared" si="68"/>
        <v>1.0000000716063551</v>
      </c>
      <c r="Y36" s="4">
        <f t="shared" si="69"/>
        <v>-3.7843454074338863E-4</v>
      </c>
      <c r="Z36" t="str">
        <f t="shared" si="53"/>
        <v>0,999999999083653+0,0000519938475855056i</v>
      </c>
      <c r="AA36" s="4">
        <f t="shared" si="70"/>
        <v>1.0000000004353331</v>
      </c>
      <c r="AB36" s="4">
        <f t="shared" si="71"/>
        <v>5.1993847586297306E-5</v>
      </c>
      <c r="AC36" s="47" t="str">
        <f t="shared" si="72"/>
        <v>34,7329157921232-26,2494056259432i</v>
      </c>
      <c r="AD36" s="20">
        <f t="shared" si="73"/>
        <v>32.777024195134842</v>
      </c>
      <c r="AE36" s="43">
        <f t="shared" si="74"/>
        <v>-37.080169572009119</v>
      </c>
      <c r="AF36" t="str">
        <f t="shared" si="54"/>
        <v>171,265703090588</v>
      </c>
      <c r="AG36" t="str">
        <f t="shared" si="55"/>
        <v>1+0,750810076649284i</v>
      </c>
      <c r="AH36">
        <f t="shared" si="75"/>
        <v>1.250486213917652</v>
      </c>
      <c r="AI36">
        <f t="shared" si="76"/>
        <v>0.64401935628871765</v>
      </c>
      <c r="AJ36" t="str">
        <f t="shared" si="56"/>
        <v>1+0,00190199715953816i</v>
      </c>
      <c r="AK36">
        <f t="shared" si="77"/>
        <v>1.0000018087949616</v>
      </c>
      <c r="AL36">
        <f t="shared" si="78"/>
        <v>1.9019948659924778E-3</v>
      </c>
      <c r="AM36" t="str">
        <f t="shared" si="57"/>
        <v>1-0,000119560550250047i</v>
      </c>
      <c r="AN36">
        <f t="shared" si="79"/>
        <v>1.0000000071473625</v>
      </c>
      <c r="AO36">
        <f t="shared" si="80"/>
        <v>-1.1956054968035194E-4</v>
      </c>
      <c r="AP36" s="41" t="str">
        <f t="shared" si="81"/>
        <v>109,671428262377-82,0371432008078i</v>
      </c>
      <c r="AQ36">
        <f t="shared" si="82"/>
        <v>42.731845645215557</v>
      </c>
      <c r="AR36" s="43">
        <f t="shared" si="83"/>
        <v>-36.797465076491669</v>
      </c>
      <c r="AS36" t="str">
        <f t="shared" si="58"/>
        <v>-0,0000166666666666667</v>
      </c>
      <c r="AT36" t="str">
        <f t="shared" si="59"/>
        <v>1,44741983840854E-07i</v>
      </c>
      <c r="AU36">
        <f t="shared" si="84"/>
        <v>1.4474198384085401E-7</v>
      </c>
      <c r="AV36">
        <f t="shared" si="85"/>
        <v>1.5707963267948966</v>
      </c>
      <c r="AW36" t="str">
        <f t="shared" si="60"/>
        <v>1+0,000453630071558706i</v>
      </c>
      <c r="AX36">
        <f t="shared" si="86"/>
        <v>1.0000001028901155</v>
      </c>
      <c r="AY36">
        <f t="shared" si="87"/>
        <v>4.5363004044267461E-4</v>
      </c>
      <c r="AZ36" t="str">
        <f t="shared" si="61"/>
        <v>1+0,0313829531323796i</v>
      </c>
      <c r="BA36">
        <f t="shared" si="88"/>
        <v>1.0004923236823504</v>
      </c>
      <c r="BB36">
        <f t="shared" si="89"/>
        <v>3.1372656300181608E-2</v>
      </c>
      <c r="BC36" s="41" t="str">
        <f t="shared" si="90"/>
        <v>-3,56143116132611+115,149040143929i</v>
      </c>
      <c r="BD36">
        <f t="shared" si="91"/>
        <v>41.229358899643749</v>
      </c>
      <c r="BE36" s="43">
        <f t="shared" si="92"/>
        <v>91.771529711337209</v>
      </c>
      <c r="BF36" s="41" t="str">
        <f t="shared" si="93"/>
        <v>2898,89497355023+4092,94736602542i</v>
      </c>
      <c r="BG36" s="20">
        <f t="shared" si="94"/>
        <v>74.006383094778585</v>
      </c>
      <c r="BH36" s="43">
        <f t="shared" si="95"/>
        <v>54.69136013932804</v>
      </c>
      <c r="BI36" s="41" t="str">
        <f t="shared" si="96"/>
        <v>9055,9110536023+12920,729333808i</v>
      </c>
      <c r="BJ36" s="20">
        <f t="shared" si="97"/>
        <v>83.961204544859299</v>
      </c>
      <c r="BK36" s="43">
        <f t="shared" si="98"/>
        <v>54.974064634845519</v>
      </c>
      <c r="BL36">
        <f t="shared" si="99"/>
        <v>74.006383094778585</v>
      </c>
      <c r="BM36" s="43">
        <f t="shared" si="100"/>
        <v>54.69136013932804</v>
      </c>
    </row>
    <row r="37" spans="1:65" x14ac:dyDescent="0.25">
      <c r="N37" s="9">
        <v>19</v>
      </c>
      <c r="O37" s="34">
        <f t="shared" si="62"/>
        <v>15.488166189124817</v>
      </c>
      <c r="P37" s="33" t="str">
        <f t="shared" si="50"/>
        <v>54,631621870174</v>
      </c>
      <c r="Q37" s="4" t="str">
        <f t="shared" si="63"/>
        <v>1+0,775722366542624i</v>
      </c>
      <c r="R37" s="4">
        <f t="shared" si="64"/>
        <v>1.2656007229590576</v>
      </c>
      <c r="S37" s="4">
        <f t="shared" si="65"/>
        <v>0.65976121330890636</v>
      </c>
      <c r="T37" s="4" t="str">
        <f t="shared" si="51"/>
        <v>1+0,00194630036469329i</v>
      </c>
      <c r="U37" s="4">
        <f t="shared" si="66"/>
        <v>1.0000018940407611</v>
      </c>
      <c r="V37" s="4">
        <f t="shared" si="67"/>
        <v>1.9462979071150656E-3</v>
      </c>
      <c r="W37" t="str">
        <f t="shared" si="52"/>
        <v>1-0,000387249432066041i</v>
      </c>
      <c r="X37" s="4">
        <f t="shared" si="68"/>
        <v>1.0000000749810585</v>
      </c>
      <c r="Y37" s="4">
        <f t="shared" si="69"/>
        <v>-3.8724941270846044E-4</v>
      </c>
      <c r="Z37" t="str">
        <f t="shared" si="53"/>
        <v>0,999999999040467+0,0000532049398759615i</v>
      </c>
      <c r="AA37" s="4">
        <f t="shared" si="70"/>
        <v>1.0000000004558496</v>
      </c>
      <c r="AB37" s="4">
        <f t="shared" si="71"/>
        <v>5.3204939876809817E-5</v>
      </c>
      <c r="AC37" s="47" t="str">
        <f t="shared" si="72"/>
        <v>34,1474312022436-26,4066593370327i</v>
      </c>
      <c r="AD37" s="20">
        <f t="shared" si="73"/>
        <v>32.702964689446723</v>
      </c>
      <c r="AE37" s="43">
        <f t="shared" si="74"/>
        <v>-37.715254528749298</v>
      </c>
      <c r="AF37" t="str">
        <f t="shared" si="54"/>
        <v>171,265703090588</v>
      </c>
      <c r="AG37" t="str">
        <f t="shared" si="55"/>
        <v>1+0,768298689968988i</v>
      </c>
      <c r="AH37">
        <f t="shared" si="75"/>
        <v>1.2610641843332413</v>
      </c>
      <c r="AI37">
        <f t="shared" si="76"/>
        <v>0.65510978102122663</v>
      </c>
      <c r="AJ37" t="str">
        <f t="shared" si="56"/>
        <v>1+0,00194630036469329i</v>
      </c>
      <c r="AK37">
        <f t="shared" si="77"/>
        <v>1.0000018940407611</v>
      </c>
      <c r="AL37">
        <f t="shared" si="78"/>
        <v>1.9462979071150656E-3</v>
      </c>
      <c r="AM37" t="str">
        <f t="shared" si="57"/>
        <v>1-0,000122345473224104i</v>
      </c>
      <c r="AN37">
        <f t="shared" si="79"/>
        <v>1.0000000074842073</v>
      </c>
      <c r="AO37">
        <f t="shared" si="80"/>
        <v>-1.2234547261366472E-4</v>
      </c>
      <c r="AP37" s="41" t="str">
        <f t="shared" si="81"/>
        <v>107,846061981403-82,5456072217331i</v>
      </c>
      <c r="AQ37">
        <f t="shared" si="82"/>
        <v>42.658680724080071</v>
      </c>
      <c r="AR37" s="43">
        <f t="shared" si="83"/>
        <v>-37.430520793726267</v>
      </c>
      <c r="AS37" t="str">
        <f t="shared" si="58"/>
        <v>-0,0000166666666666667</v>
      </c>
      <c r="AT37" t="str">
        <f t="shared" si="59"/>
        <v>1,4811345775316E-07i</v>
      </c>
      <c r="AU37">
        <f t="shared" si="84"/>
        <v>1.4811345775316001E-7</v>
      </c>
      <c r="AV37">
        <f t="shared" si="85"/>
        <v>1.5707963267948966</v>
      </c>
      <c r="AW37" t="str">
        <f t="shared" si="60"/>
        <v>1+0,000464196473313841i</v>
      </c>
      <c r="AX37">
        <f t="shared" si="86"/>
        <v>1.0000001077391771</v>
      </c>
      <c r="AY37">
        <f t="shared" si="87"/>
        <v>4.6419643997241278E-4</v>
      </c>
      <c r="AZ37" t="str">
        <f t="shared" si="61"/>
        <v>1+0,0321139560174394i</v>
      </c>
      <c r="BA37">
        <f t="shared" si="88"/>
        <v>1.0005155202050042</v>
      </c>
      <c r="BB37">
        <f t="shared" si="89"/>
        <v>3.2102923069970292E-2</v>
      </c>
      <c r="BC37" s="41" t="str">
        <f t="shared" si="90"/>
        <v>-3,56143112678692+112,528002392394i</v>
      </c>
      <c r="BD37">
        <f t="shared" si="91"/>
        <v>41.029560238480869</v>
      </c>
      <c r="BE37" s="43">
        <f t="shared" si="92"/>
        <v>91.812765505067034</v>
      </c>
      <c r="BF37" s="41" t="str">
        <f t="shared" si="93"/>
        <v>2849,87490066926+3936,58771853754i</v>
      </c>
      <c r="BG37" s="20">
        <f t="shared" si="94"/>
        <v>73.732524927927585</v>
      </c>
      <c r="BH37" s="43">
        <f t="shared" si="95"/>
        <v>54.097510976317757</v>
      </c>
      <c r="BI37" s="41" t="str">
        <f t="shared" si="96"/>
        <v>8904,60596488684+12429,6824155926i</v>
      </c>
      <c r="BJ37" s="20">
        <f t="shared" si="97"/>
        <v>83.68824096256094</v>
      </c>
      <c r="BK37" s="43">
        <f t="shared" si="98"/>
        <v>54.382244711340782</v>
      </c>
      <c r="BL37">
        <f t="shared" si="99"/>
        <v>73.732524927927585</v>
      </c>
      <c r="BM37" s="43">
        <f t="shared" si="100"/>
        <v>54.097510976317757</v>
      </c>
    </row>
    <row r="38" spans="1:65" x14ac:dyDescent="0.25">
      <c r="A38" t="s">
        <v>200</v>
      </c>
      <c r="B38" s="16">
        <f>(Gcomp*(VIN_var/VOUT)*(VOUT/IOUT))/(Kd*R_cs*Acs/Np)</f>
        <v>54.631621870174037</v>
      </c>
      <c r="C38" t="s">
        <v>150</v>
      </c>
      <c r="E38" t="s">
        <v>204</v>
      </c>
      <c r="N38" s="9">
        <v>20</v>
      </c>
      <c r="O38" s="34">
        <f t="shared" si="62"/>
        <v>15.848931924611136</v>
      </c>
      <c r="P38" s="33" t="str">
        <f t="shared" si="50"/>
        <v>54,631621870174</v>
      </c>
      <c r="Q38" s="4" t="str">
        <f t="shared" si="63"/>
        <v>1+0,79379126163851i</v>
      </c>
      <c r="R38" s="4">
        <f t="shared" si="64"/>
        <v>1.2767554844423648</v>
      </c>
      <c r="S38" s="4">
        <f t="shared" si="65"/>
        <v>0.67094364364679415</v>
      </c>
      <c r="T38" s="4" t="str">
        <f t="shared" si="51"/>
        <v>1+0,00199163552406412i</v>
      </c>
      <c r="U38" s="4">
        <f t="shared" si="66"/>
        <v>1.0000019833040636</v>
      </c>
      <c r="V38" s="4">
        <f t="shared" si="67"/>
        <v>1.9916328907218905E-3</v>
      </c>
      <c r="W38" t="str">
        <f t="shared" si="52"/>
        <v>1-0,000396269630097882i</v>
      </c>
      <c r="X38" s="4">
        <f t="shared" si="68"/>
        <v>1.0000000785148069</v>
      </c>
      <c r="Y38" s="4">
        <f t="shared" si="69"/>
        <v>-3.9626960935586084E-4</v>
      </c>
      <c r="Z38" t="str">
        <f t="shared" si="53"/>
        <v>0,999999998995245+0,0000544442421297903i</v>
      </c>
      <c r="AA38" s="4">
        <f t="shared" si="70"/>
        <v>1.0000000004773328</v>
      </c>
      <c r="AB38" s="4">
        <f t="shared" si="71"/>
        <v>5.444424213069933E-5</v>
      </c>
      <c r="AC38" s="47" t="str">
        <f t="shared" si="72"/>
        <v>33,5552052900054-26,5516456951932i</v>
      </c>
      <c r="AD38" s="20">
        <f t="shared" si="73"/>
        <v>32.626745138248594</v>
      </c>
      <c r="AE38" s="43">
        <f t="shared" si="74"/>
        <v>-38.353950914571172</v>
      </c>
      <c r="AF38" t="str">
        <f t="shared" si="54"/>
        <v>171,265703090588</v>
      </c>
      <c r="AG38" t="str">
        <f t="shared" si="55"/>
        <v>1+0,786194665423749i</v>
      </c>
      <c r="AH38">
        <f t="shared" si="75"/>
        <v>1.2720464032183578</v>
      </c>
      <c r="AI38">
        <f t="shared" si="76"/>
        <v>0.66626618517892655</v>
      </c>
      <c r="AJ38" t="str">
        <f t="shared" si="56"/>
        <v>1+0,00199163552406412i</v>
      </c>
      <c r="AK38">
        <f t="shared" si="77"/>
        <v>1.0000019833040636</v>
      </c>
      <c r="AL38">
        <f t="shared" si="78"/>
        <v>1.9916328907218905E-3</v>
      </c>
      <c r="AM38" t="str">
        <f t="shared" si="57"/>
        <v>1-0,000125195265387498i</v>
      </c>
      <c r="AN38">
        <f t="shared" si="79"/>
        <v>1.0000000078369271</v>
      </c>
      <c r="AO38">
        <f t="shared" si="80"/>
        <v>-1.2519526473340055E-4</v>
      </c>
      <c r="AP38" s="41" t="str">
        <f t="shared" si="81"/>
        <v>105,998912971364-83,0161227156234i</v>
      </c>
      <c r="AQ38">
        <f t="shared" si="82"/>
        <v>42.583366244344688</v>
      </c>
      <c r="AR38" s="43">
        <f t="shared" si="83"/>
        <v>-38.067301444340572</v>
      </c>
      <c r="AS38" t="str">
        <f t="shared" si="58"/>
        <v>-0,0000166666666666667</v>
      </c>
      <c r="AT38" t="str">
        <f t="shared" si="59"/>
        <v>1,5156346338128E-07i</v>
      </c>
      <c r="AU38">
        <f t="shared" si="84"/>
        <v>1.5156346338128E-7</v>
      </c>
      <c r="AV38">
        <f t="shared" si="85"/>
        <v>1.5707963267948966</v>
      </c>
      <c r="AW38" t="str">
        <f t="shared" si="60"/>
        <v>1+0,000475008998183493i</v>
      </c>
      <c r="AX38">
        <f t="shared" si="86"/>
        <v>1.0000001128167677</v>
      </c>
      <c r="AY38">
        <f t="shared" si="87"/>
        <v>4.7500896245750927E-4</v>
      </c>
      <c r="AZ38" t="str">
        <f t="shared" si="61"/>
        <v>1+0,032861986147058i</v>
      </c>
      <c r="BA38">
        <f t="shared" si="88"/>
        <v>1.0005398093696869</v>
      </c>
      <c r="BB38">
        <f t="shared" si="89"/>
        <v>3.2850164475302999E-2</v>
      </c>
      <c r="BC38" s="41" t="str">
        <f t="shared" si="90"/>
        <v>-3,56143109061994+109,966628477209i</v>
      </c>
      <c r="BD38">
        <f t="shared" si="91"/>
        <v>40.829771056116975</v>
      </c>
      <c r="BE38" s="43">
        <f t="shared" si="92"/>
        <v>91.854959771965753</v>
      </c>
      <c r="BF38" s="41" t="str">
        <f t="shared" si="93"/>
        <v>2800,29040624984+3784,51465008849i</v>
      </c>
      <c r="BG38" s="20">
        <f t="shared" si="94"/>
        <v>73.456516194365577</v>
      </c>
      <c r="BH38" s="43">
        <f t="shared" si="95"/>
        <v>53.501008857394567</v>
      </c>
      <c r="BI38" s="41" t="str">
        <f t="shared" si="96"/>
        <v>8751,49530005922+11951,9992821721i</v>
      </c>
      <c r="BJ38" s="20">
        <f t="shared" si="97"/>
        <v>83.413137300461656</v>
      </c>
      <c r="BK38" s="43">
        <f t="shared" si="98"/>
        <v>53.787658327625088</v>
      </c>
      <c r="BL38">
        <f t="shared" si="99"/>
        <v>73.456516194365577</v>
      </c>
      <c r="BM38" s="43">
        <f t="shared" si="100"/>
        <v>53.501008857394567</v>
      </c>
    </row>
    <row r="39" spans="1:65" x14ac:dyDescent="0.25">
      <c r="A39" t="s">
        <v>217</v>
      </c>
      <c r="B39" s="18">
        <f>Kd/(Cout*(VOUT/IOUT_VAR))</f>
        <v>125.45083451492452</v>
      </c>
      <c r="C39" t="s">
        <v>216</v>
      </c>
      <c r="E39" t="s">
        <v>207</v>
      </c>
      <c r="N39" s="9">
        <v>21</v>
      </c>
      <c r="O39" s="34">
        <f t="shared" si="62"/>
        <v>16.218100973589298</v>
      </c>
      <c r="P39" s="33" t="str">
        <f t="shared" si="50"/>
        <v>54,631621870174</v>
      </c>
      <c r="Q39" s="4" t="str">
        <f t="shared" si="63"/>
        <v>1+0,812281035368383i</v>
      </c>
      <c r="R39" s="4">
        <f t="shared" si="64"/>
        <v>1.2883324417319981</v>
      </c>
      <c r="S39" s="4">
        <f t="shared" si="65"/>
        <v>0.68218464674986024</v>
      </c>
      <c r="T39" s="4" t="str">
        <f t="shared" si="51"/>
        <v>1+0,00203802667495222i</v>
      </c>
      <c r="U39" s="4">
        <f t="shared" si="66"/>
        <v>1.0000020767742075</v>
      </c>
      <c r="V39" s="4">
        <f t="shared" si="67"/>
        <v>2.0380238532755005E-3</v>
      </c>
      <c r="W39" t="str">
        <f t="shared" si="52"/>
        <v>1-0,000405499935532848i</v>
      </c>
      <c r="X39" s="4">
        <f t="shared" si="68"/>
        <v>1.0000000822150954</v>
      </c>
      <c r="Y39" s="4">
        <f t="shared" si="69"/>
        <v>-4.0549991330737198E-4</v>
      </c>
      <c r="Z39" t="str">
        <f t="shared" si="53"/>
        <v>0,999999998947893+0,0000557124114414508i</v>
      </c>
      <c r="AA39" s="4">
        <f t="shared" si="70"/>
        <v>1.0000000004998293</v>
      </c>
      <c r="AB39" s="4">
        <f t="shared" si="71"/>
        <v>5.5712411442424806E-5</v>
      </c>
      <c r="AC39" s="47" t="str">
        <f t="shared" si="72"/>
        <v>32,9567593181215-26,6840066598801i</v>
      </c>
      <c r="AD39" s="20">
        <f t="shared" si="73"/>
        <v>32.548341764328178</v>
      </c>
      <c r="AE39" s="43">
        <f t="shared" si="74"/>
        <v>-38.995956461717881</v>
      </c>
      <c r="AF39" t="str">
        <f t="shared" si="54"/>
        <v>171,265703090588</v>
      </c>
      <c r="AG39" t="str">
        <f t="shared" si="55"/>
        <v>1+0,804507491696633i</v>
      </c>
      <c r="AH39">
        <f t="shared" si="75"/>
        <v>1.2834454815830738</v>
      </c>
      <c r="AI39">
        <f t="shared" si="76"/>
        <v>0.67748337588140584</v>
      </c>
      <c r="AJ39" t="str">
        <f t="shared" si="56"/>
        <v>1+0,00203802667495222i</v>
      </c>
      <c r="AK39">
        <f t="shared" si="77"/>
        <v>1.0000020767742075</v>
      </c>
      <c r="AL39">
        <f t="shared" si="78"/>
        <v>2.0380238532755005E-3</v>
      </c>
      <c r="AM39" t="str">
        <f t="shared" si="57"/>
        <v>1-0,000128111437737755i</v>
      </c>
      <c r="AN39">
        <f t="shared" si="79"/>
        <v>1.0000000082062701</v>
      </c>
      <c r="AO39">
        <f t="shared" si="80"/>
        <v>-1.2811143703687696E-4</v>
      </c>
      <c r="AP39" s="41" t="str">
        <f t="shared" si="81"/>
        <v>104,131581298456-83,4475343008801i</v>
      </c>
      <c r="AQ39">
        <f t="shared" si="82"/>
        <v>42.505877638362279</v>
      </c>
      <c r="AR39" s="43">
        <f t="shared" si="83"/>
        <v>-38.707508207589662</v>
      </c>
      <c r="AS39" t="str">
        <f t="shared" si="58"/>
        <v>-0,0000166666666666667</v>
      </c>
      <c r="AT39" t="str">
        <f t="shared" si="59"/>
        <v>1,55093829963864E-07i</v>
      </c>
      <c r="AU39">
        <f t="shared" si="84"/>
        <v>1.55093829963864E-7</v>
      </c>
      <c r="AV39">
        <f t="shared" si="85"/>
        <v>1.5707963267948966</v>
      </c>
      <c r="AW39" t="str">
        <f t="shared" si="60"/>
        <v>1+0,000486073379111469i</v>
      </c>
      <c r="AX39">
        <f t="shared" si="86"/>
        <v>1.000000118133658</v>
      </c>
      <c r="AY39">
        <f t="shared" si="87"/>
        <v>4.8607334083038795E-4</v>
      </c>
      <c r="AZ39" t="str">
        <f t="shared" si="61"/>
        <v>1+0,0336274401367116i</v>
      </c>
      <c r="BA39">
        <f t="shared" si="88"/>
        <v>1.000565242615467</v>
      </c>
      <c r="BB39">
        <f t="shared" si="89"/>
        <v>3.3614773373659798E-2</v>
      </c>
      <c r="BC39" s="41" t="str">
        <f t="shared" si="90"/>
        <v>-3,56143105274847+107,463560324023i</v>
      </c>
      <c r="BD39">
        <f t="shared" si="91"/>
        <v>40.629991798309831</v>
      </c>
      <c r="BE39" s="43">
        <f t="shared" si="92"/>
        <v>91.89813469263602</v>
      </c>
      <c r="BF39" s="41" t="str">
        <f t="shared" si="93"/>
        <v>2750,18513334714+3636,6839429975i</v>
      </c>
      <c r="BG39" s="20">
        <f t="shared" si="94"/>
        <v>73.178333562638016</v>
      </c>
      <c r="BH39" s="43">
        <f t="shared" si="95"/>
        <v>52.902178230918146</v>
      </c>
      <c r="BI39" s="41" t="str">
        <f t="shared" si="96"/>
        <v>8596,71168902548+11487,543108437i</v>
      </c>
      <c r="BJ39" s="20">
        <f t="shared" si="97"/>
        <v>83.13586943667211</v>
      </c>
      <c r="BK39" s="43">
        <f t="shared" si="98"/>
        <v>53.19062648504643</v>
      </c>
      <c r="BL39">
        <f t="shared" si="99"/>
        <v>73.178333562638016</v>
      </c>
      <c r="BM39" s="43">
        <f t="shared" si="100"/>
        <v>52.902178230918146</v>
      </c>
    </row>
    <row r="40" spans="1:65" x14ac:dyDescent="0.25">
      <c r="B40" s="17">
        <f>wp_lf/(2*PI())</f>
        <v>19.966120428053593</v>
      </c>
      <c r="C40" t="s">
        <v>65</v>
      </c>
      <c r="N40" s="9">
        <v>22</v>
      </c>
      <c r="O40" s="34">
        <f t="shared" si="62"/>
        <v>16.595869074375614</v>
      </c>
      <c r="P40" s="33" t="str">
        <f t="shared" si="50"/>
        <v>54,631621870174</v>
      </c>
      <c r="Q40" s="4" t="str">
        <f t="shared" si="63"/>
        <v>1+0,831201491255025i</v>
      </c>
      <c r="R40" s="4">
        <f t="shared" si="64"/>
        <v>1.3003445385991272</v>
      </c>
      <c r="S40" s="4">
        <f t="shared" si="65"/>
        <v>0.69347882008053385</v>
      </c>
      <c r="T40" s="4" t="str">
        <f t="shared" si="51"/>
        <v>1+0,00208549841455986i</v>
      </c>
      <c r="U40" s="4">
        <f t="shared" si="66"/>
        <v>1.0000021746494541</v>
      </c>
      <c r="V40" s="4">
        <f t="shared" si="67"/>
        <v>2.0854953910791367E-3</v>
      </c>
      <c r="W40" t="str">
        <f t="shared" si="52"/>
        <v>1-0,000414945242401062i</v>
      </c>
      <c r="X40" s="4">
        <f t="shared" si="68"/>
        <v>1.0000000860897733</v>
      </c>
      <c r="Y40" s="4">
        <f t="shared" si="69"/>
        <v>-4.1494521858603551E-4</v>
      </c>
      <c r="Z40" t="str">
        <f t="shared" si="53"/>
        <v>0,999999998898308+0,000057010120211099i</v>
      </c>
      <c r="AA40" s="4">
        <f t="shared" si="70"/>
        <v>1.0000000005233849</v>
      </c>
      <c r="AB40" s="4">
        <f t="shared" si="71"/>
        <v>5.7010120212142701E-5</v>
      </c>
      <c r="AC40" s="47" t="str">
        <f t="shared" si="72"/>
        <v>32,3526388693867-26,8034112032723i</v>
      </c>
      <c r="AD40" s="20">
        <f t="shared" si="73"/>
        <v>32.467732747671562</v>
      </c>
      <c r="AE40" s="43">
        <f t="shared" si="74"/>
        <v>-39.640960537255729</v>
      </c>
      <c r="AF40" t="str">
        <f t="shared" si="54"/>
        <v>171,265703090588</v>
      </c>
      <c r="AG40" t="str">
        <f t="shared" si="55"/>
        <v>1+0,823246878490534i</v>
      </c>
      <c r="AH40">
        <f t="shared" si="75"/>
        <v>1.2952742655300491</v>
      </c>
      <c r="AI40">
        <f t="shared" si="76"/>
        <v>0.68875600999278463</v>
      </c>
      <c r="AJ40" t="str">
        <f t="shared" si="56"/>
        <v>1+0,00208549841455986i</v>
      </c>
      <c r="AK40">
        <f t="shared" si="77"/>
        <v>1.0000021746494541</v>
      </c>
      <c r="AL40">
        <f t="shared" si="78"/>
        <v>2.0854953910791367E-3</v>
      </c>
      <c r="AM40" t="str">
        <f t="shared" si="57"/>
        <v>1-0,000131095536468058i</v>
      </c>
      <c r="AN40">
        <f t="shared" si="79"/>
        <v>1.0000000085930199</v>
      </c>
      <c r="AO40">
        <f t="shared" si="80"/>
        <v>-1.3109553571705366E-4</v>
      </c>
      <c r="AP40" s="41" t="str">
        <f t="shared" si="81"/>
        <v>102,245745402363-83,8387685583942i</v>
      </c>
      <c r="AQ40">
        <f t="shared" si="82"/>
        <v>42.426192257893248</v>
      </c>
      <c r="AR40" s="43">
        <f t="shared" si="83"/>
        <v>-39.350833623663569</v>
      </c>
      <c r="AS40" t="str">
        <f t="shared" si="58"/>
        <v>-0,0000166666666666667</v>
      </c>
      <c r="AT40" t="str">
        <f t="shared" si="59"/>
        <v>1,58706429348005E-07i</v>
      </c>
      <c r="AU40">
        <f t="shared" si="84"/>
        <v>1.5870642934800501E-7</v>
      </c>
      <c r="AV40">
        <f t="shared" si="85"/>
        <v>1.5707963267948966</v>
      </c>
      <c r="AW40" t="str">
        <f t="shared" si="60"/>
        <v>1+0,000497395482578994i</v>
      </c>
      <c r="AX40">
        <f t="shared" si="86"/>
        <v>1.0000001237011253</v>
      </c>
      <c r="AY40">
        <f t="shared" si="87"/>
        <v>4.9739544156007689E-4</v>
      </c>
      <c r="AZ40" t="str">
        <f t="shared" si="61"/>
        <v>1+0,0344107238402377i</v>
      </c>
      <c r="BA40">
        <f t="shared" si="88"/>
        <v>1.0005918738003068</v>
      </c>
      <c r="BB40">
        <f t="shared" si="89"/>
        <v>3.4397151592668956E-2</v>
      </c>
      <c r="BC40" s="41" t="str">
        <f t="shared" si="90"/>
        <v>-3,56143101309219+105,017470772966i</v>
      </c>
      <c r="BD40">
        <f t="shared" si="91"/>
        <v>40.430222931731748</v>
      </c>
      <c r="BE40" s="43">
        <f t="shared" si="92"/>
        <v>91.942312953981187</v>
      </c>
      <c r="BF40" s="41" t="str">
        <f t="shared" si="93"/>
        <v>2699,60476123063+3493,05080681014i</v>
      </c>
      <c r="BG40" s="20">
        <f t="shared" si="94"/>
        <v>72.897955679403296</v>
      </c>
      <c r="BH40" s="43">
        <f t="shared" si="95"/>
        <v>52.301352416725507</v>
      </c>
      <c r="BI40" s="41" t="str">
        <f t="shared" si="96"/>
        <v>8440,39425808992+11036,1755698961i</v>
      </c>
      <c r="BJ40" s="20">
        <f t="shared" si="97"/>
        <v>82.856415189624997</v>
      </c>
      <c r="BK40" s="43">
        <f t="shared" si="98"/>
        <v>52.591479330317611</v>
      </c>
      <c r="BL40">
        <f t="shared" si="99"/>
        <v>72.897955679403296</v>
      </c>
      <c r="BM40" s="43">
        <f t="shared" si="100"/>
        <v>52.301352416725507</v>
      </c>
    </row>
    <row r="41" spans="1:65" x14ac:dyDescent="0.25">
      <c r="B41" s="1"/>
      <c r="C41" t="s">
        <v>237</v>
      </c>
      <c r="E41" t="s">
        <v>236</v>
      </c>
      <c r="N41" s="9">
        <v>23</v>
      </c>
      <c r="O41" s="34">
        <f t="shared" si="62"/>
        <v>16.982436524617448</v>
      </c>
      <c r="P41" s="33" t="str">
        <f t="shared" si="50"/>
        <v>54,631621870174</v>
      </c>
      <c r="Q41" s="4" t="str">
        <f t="shared" si="63"/>
        <v>1+0,850562661174576i</v>
      </c>
      <c r="R41" s="4">
        <f t="shared" si="64"/>
        <v>1.3128049514624693</v>
      </c>
      <c r="S41" s="4">
        <f t="shared" si="65"/>
        <v>0.70482062736085049</v>
      </c>
      <c r="T41" s="4" t="str">
        <f t="shared" si="51"/>
        <v>1+0,00213407591303172i</v>
      </c>
      <c r="U41" s="4">
        <f t="shared" si="66"/>
        <v>1.0000022771374086</v>
      </c>
      <c r="V41" s="4">
        <f t="shared" si="67"/>
        <v>2.1340726733141547E-3</v>
      </c>
      <c r="W41" t="str">
        <f t="shared" si="52"/>
        <v>1-0,000424610558729244i</v>
      </c>
      <c r="X41" s="4">
        <f t="shared" si="68"/>
        <v>1.0000000901470592</v>
      </c>
      <c r="Y41" s="4">
        <f t="shared" si="69"/>
        <v>-4.2461053321098347E-4</v>
      </c>
      <c r="Z41" t="str">
        <f t="shared" si="53"/>
        <v>0,999999998846387+0,0000583380565011007i</v>
      </c>
      <c r="AA41" s="4">
        <f t="shared" si="70"/>
        <v>1.0000000005480514</v>
      </c>
      <c r="AB41" s="4">
        <f t="shared" si="71"/>
        <v>5.8338056502219044E-5</v>
      </c>
      <c r="AC41" s="47" t="str">
        <f t="shared" si="72"/>
        <v>31,7434120548411-26,9095572730283i</v>
      </c>
      <c r="AD41" s="20">
        <f t="shared" si="73"/>
        <v>32.384898311445284</v>
      </c>
      <c r="AE41" s="43">
        <f t="shared" si="74"/>
        <v>-40.288644820096842</v>
      </c>
      <c r="AF41" t="str">
        <f t="shared" si="54"/>
        <v>171,265703090588</v>
      </c>
      <c r="AG41" t="str">
        <f t="shared" si="55"/>
        <v>1+0,842422761676366i</v>
      </c>
      <c r="AH41">
        <f t="shared" si="75"/>
        <v>1.3075458345275837</v>
      </c>
      <c r="AI41">
        <f t="shared" si="76"/>
        <v>0.70007860559721258</v>
      </c>
      <c r="AJ41" t="str">
        <f t="shared" si="56"/>
        <v>1+0,00213407591303172i</v>
      </c>
      <c r="AK41">
        <f t="shared" si="77"/>
        <v>1.0000022771374086</v>
      </c>
      <c r="AL41">
        <f t="shared" si="78"/>
        <v>2.1340726733141547E-3</v>
      </c>
      <c r="AM41" t="str">
        <f t="shared" si="57"/>
        <v>1-0,000134149143787049i</v>
      </c>
      <c r="AN41">
        <f t="shared" si="79"/>
        <v>1.0000000089979963</v>
      </c>
      <c r="AO41">
        <f t="shared" si="80"/>
        <v>-1.3414914298233332E-4</v>
      </c>
      <c r="AP41" s="41" t="str">
        <f t="shared" si="81"/>
        <v>100,343156733952-84,1888403468755i</v>
      </c>
      <c r="AQ41">
        <f t="shared" si="82"/>
        <v>42.34428946277086</v>
      </c>
      <c r="AR41" s="43">
        <f t="shared" si="83"/>
        <v>-39.996962250486959</v>
      </c>
      <c r="AS41" t="str">
        <f t="shared" si="58"/>
        <v>-0,0000166666666666667</v>
      </c>
      <c r="AT41" t="str">
        <f t="shared" si="59"/>
        <v>1,62403176981714E-07i</v>
      </c>
      <c r="AU41">
        <f t="shared" si="84"/>
        <v>1.62403176981714E-7</v>
      </c>
      <c r="AV41">
        <f t="shared" si="85"/>
        <v>1.5707963267948966</v>
      </c>
      <c r="AW41" t="str">
        <f t="shared" si="60"/>
        <v>1+0,000508981311715187i</v>
      </c>
      <c r="AX41">
        <f t="shared" si="86"/>
        <v>1.0000001295309795</v>
      </c>
      <c r="AY41">
        <f t="shared" si="87"/>
        <v>5.089812677626258E-4</v>
      </c>
      <c r="AZ41" t="str">
        <f t="shared" si="61"/>
        <v>1+0,0352122525650234i</v>
      </c>
      <c r="BA41">
        <f t="shared" si="88"/>
        <v>1.0006197593145476</v>
      </c>
      <c r="BB41">
        <f t="shared" si="89"/>
        <v>3.519771012618058E-2</v>
      </c>
      <c r="BC41" s="41" t="str">
        <f t="shared" si="90"/>
        <v>-3,56143097156694+102,627062874982i</v>
      </c>
      <c r="BD41">
        <f t="shared" si="91"/>
        <v>40.230464944947222</v>
      </c>
      <c r="BE41" s="43">
        <f t="shared" si="92"/>
        <v>91.987517760261014</v>
      </c>
      <c r="BF41" s="41" t="str">
        <f t="shared" si="93"/>
        <v>2648,59685536168+3353,56967552196i</v>
      </c>
      <c r="BG41" s="20">
        <f t="shared" si="94"/>
        <v>72.615363256392513</v>
      </c>
      <c r="BH41" s="43">
        <f t="shared" si="95"/>
        <v>51.698872940164222</v>
      </c>
      <c r="BI41" s="41" t="str">
        <f t="shared" si="96"/>
        <v>8282,68818547352+10597,7561986811i</v>
      </c>
      <c r="BJ41" s="20">
        <f t="shared" si="97"/>
        <v>82.574754407718061</v>
      </c>
      <c r="BK41" s="43">
        <f t="shared" si="98"/>
        <v>51.990555509773962</v>
      </c>
      <c r="BL41">
        <f t="shared" si="99"/>
        <v>72.615363256392513</v>
      </c>
      <c r="BM41" s="43">
        <f t="shared" si="100"/>
        <v>51.698872940164222</v>
      </c>
    </row>
    <row r="42" spans="1:65" x14ac:dyDescent="0.25">
      <c r="A42" t="s">
        <v>218</v>
      </c>
      <c r="B42" s="18">
        <f>((VOUT/IOUT)*((VIN_var/VOUT)^2))/(Lm)</f>
        <v>251298.02699896158</v>
      </c>
      <c r="C42" t="s">
        <v>216</v>
      </c>
      <c r="E42" t="s">
        <v>208</v>
      </c>
      <c r="N42" s="9">
        <v>24</v>
      </c>
      <c r="O42" s="34">
        <f t="shared" si="62"/>
        <v>17.378008287493756</v>
      </c>
      <c r="P42" s="33" t="str">
        <f t="shared" si="50"/>
        <v>54,631621870174</v>
      </c>
      <c r="Q42" s="4" t="str">
        <f t="shared" si="63"/>
        <v>1+0,870374810675617i</v>
      </c>
      <c r="R42" s="4">
        <f t="shared" si="64"/>
        <v>1.3257270876989036</v>
      </c>
      <c r="S42" s="4">
        <f t="shared" si="65"/>
        <v>0.71620441119869549</v>
      </c>
      <c r="T42" s="4" t="str">
        <f t="shared" si="51"/>
        <v>1+0,00218378492680052i</v>
      </c>
      <c r="U42" s="4">
        <f t="shared" si="66"/>
        <v>1.0000023844554604</v>
      </c>
      <c r="V42" s="4">
        <f t="shared" si="67"/>
        <v>2.183781455381052E-3</v>
      </c>
      <c r="W42" t="str">
        <f t="shared" si="52"/>
        <v>1-0,000434501009196053i</v>
      </c>
      <c r="X42" s="4">
        <f t="shared" si="68"/>
        <v>1.0000000943955589</v>
      </c>
      <c r="Y42" s="4">
        <f t="shared" si="69"/>
        <v>-4.3450098185274434E-4</v>
      </c>
      <c r="Z42" t="str">
        <f t="shared" si="53"/>
        <v>0,999999998792019+0,0000596969244008553i</v>
      </c>
      <c r="AA42" s="4">
        <f t="shared" si="70"/>
        <v>1.0000000005738803</v>
      </c>
      <c r="AB42" s="4">
        <f t="shared" si="71"/>
        <v>5.9696924402053621E-5</v>
      </c>
      <c r="AC42" s="47" t="str">
        <f t="shared" si="72"/>
        <v>31,1296675367268-27,00217361426i</v>
      </c>
      <c r="AD42" s="20">
        <f t="shared" si="73"/>
        <v>32.299820801062992</v>
      </c>
      <c r="AE42" s="43">
        <f t="shared" si="74"/>
        <v>-40.938684023837787</v>
      </c>
      <c r="AF42" t="str">
        <f t="shared" si="54"/>
        <v>171,265703090588</v>
      </c>
      <c r="AG42" t="str">
        <f t="shared" si="55"/>
        <v>1+0,862045308561228i</v>
      </c>
      <c r="AH42">
        <f t="shared" si="75"/>
        <v>1.3202734997008849</v>
      </c>
      <c r="AI42">
        <f t="shared" si="76"/>
        <v>0.71144555429832523</v>
      </c>
      <c r="AJ42" t="str">
        <f t="shared" si="56"/>
        <v>1+0,00218378492680052i</v>
      </c>
      <c r="AK42">
        <f t="shared" si="77"/>
        <v>1.0000023844554604</v>
      </c>
      <c r="AL42">
        <f t="shared" si="78"/>
        <v>2.183781455381052E-3</v>
      </c>
      <c r="AM42" t="str">
        <f t="shared" si="57"/>
        <v>1-0,000137273878757751i</v>
      </c>
      <c r="AN42">
        <f t="shared" si="79"/>
        <v>1.0000000094220589</v>
      </c>
      <c r="AO42">
        <f t="shared" si="80"/>
        <v>-1.3727387789548264E-4</v>
      </c>
      <c r="AP42" s="41" t="str">
        <f t="shared" si="81"/>
        <v>98,425633797955-84,4968587041668i</v>
      </c>
      <c r="AQ42">
        <f t="shared" si="82"/>
        <v>42.260150702938162</v>
      </c>
      <c r="AR42" s="43">
        <f t="shared" si="83"/>
        <v>-40.645571367708001</v>
      </c>
      <c r="AS42" t="str">
        <f t="shared" si="58"/>
        <v>-0,0000166666666666667</v>
      </c>
      <c r="AT42" t="str">
        <f t="shared" si="59"/>
        <v>1,66186032929519E-07i</v>
      </c>
      <c r="AU42">
        <f t="shared" si="84"/>
        <v>1.6618603292951899E-7</v>
      </c>
      <c r="AV42">
        <f t="shared" si="85"/>
        <v>1.5707963267948966</v>
      </c>
      <c r="AW42" t="str">
        <f t="shared" si="60"/>
        <v>1+0,000520837009480019i</v>
      </c>
      <c r="AX42">
        <f t="shared" si="86"/>
        <v>1.0000001356355861</v>
      </c>
      <c r="AY42">
        <f t="shared" si="87"/>
        <v>5.2083696238400148E-4</v>
      </c>
      <c r="AZ42" t="str">
        <f t="shared" si="61"/>
        <v>1+0,0360324512922086i</v>
      </c>
      <c r="BA42">
        <f t="shared" si="88"/>
        <v>1.0006489581996902</v>
      </c>
      <c r="BB42">
        <f t="shared" si="89"/>
        <v>3.601686933399631E-2</v>
      </c>
      <c r="BC42" s="41" t="str">
        <f t="shared" si="90"/>
        <v>-3,56143092808469+100,291069204162i</v>
      </c>
      <c r="BD42">
        <f t="shared" si="91"/>
        <v>40.030718349434224</v>
      </c>
      <c r="BE42" s="43">
        <f t="shared" si="92"/>
        <v>92.033772844353123</v>
      </c>
      <c r="BF42" s="41" t="str">
        <f t="shared" si="93"/>
        <v>2597,21070186425+3218,19401746376i</v>
      </c>
      <c r="BG42" s="20">
        <f t="shared" si="94"/>
        <v>72.330539150497216</v>
      </c>
      <c r="BH42" s="43">
        <f t="shared" si="95"/>
        <v>51.095088820515379</v>
      </c>
      <c r="BI42" s="41" t="str">
        <f t="shared" si="96"/>
        <v>8123,74420750952+10172,1417766092i</v>
      </c>
      <c r="BJ42" s="20">
        <f t="shared" si="97"/>
        <v>82.290869052372372</v>
      </c>
      <c r="BK42" s="43">
        <f t="shared" si="98"/>
        <v>51.388201476645023</v>
      </c>
      <c r="BL42">
        <f t="shared" si="99"/>
        <v>72.330539150497216</v>
      </c>
      <c r="BM42" s="43">
        <f t="shared" si="100"/>
        <v>51.095088820515379</v>
      </c>
    </row>
    <row r="43" spans="1:65" x14ac:dyDescent="0.25">
      <c r="B43" s="1">
        <f>wz_rhp/(2*PI())</f>
        <v>39995.323186125308</v>
      </c>
      <c r="C43" t="s">
        <v>65</v>
      </c>
      <c r="N43" s="9">
        <v>25</v>
      </c>
      <c r="O43" s="34">
        <f t="shared" si="62"/>
        <v>17.782794100389236</v>
      </c>
      <c r="P43" s="33" t="str">
        <f t="shared" si="50"/>
        <v>54,631621870174</v>
      </c>
      <c r="Q43" s="4" t="str">
        <f t="shared" si="63"/>
        <v>1+0,890648444422042i</v>
      </c>
      <c r="R43" s="4">
        <f t="shared" si="64"/>
        <v>1.3391245840292094</v>
      </c>
      <c r="S43" s="4">
        <f t="shared" si="65"/>
        <v>0.72762440645013715</v>
      </c>
      <c r="T43" s="4" t="str">
        <f t="shared" si="51"/>
        <v>1+0,0022346518122433i</v>
      </c>
      <c r="U43" s="4">
        <f t="shared" si="66"/>
        <v>1.0000024968312438</v>
      </c>
      <c r="V43" s="4">
        <f t="shared" si="67"/>
        <v>2.2346480925508252E-3</v>
      </c>
      <c r="W43" t="str">
        <f t="shared" si="52"/>
        <v>1-0,000444621837849234i</v>
      </c>
      <c r="X43" s="4">
        <f t="shared" si="68"/>
        <v>1.0000000988442843</v>
      </c>
      <c r="Y43" s="4">
        <f t="shared" si="69"/>
        <v>-4.4462180855035105E-4</v>
      </c>
      <c r="Z43" t="str">
        <f t="shared" si="53"/>
        <v>0,999999998735089+0,0000610874444001089i</v>
      </c>
      <c r="AA43" s="4">
        <f t="shared" si="70"/>
        <v>1.0000000006009269</v>
      </c>
      <c r="AB43" s="4">
        <f t="shared" si="71"/>
        <v>6.1087444401392889E-5</v>
      </c>
      <c r="AC43" s="47" t="str">
        <f t="shared" si="72"/>
        <v>30,51201237923-27,0810214307664i</v>
      </c>
      <c r="AD43" s="20">
        <f t="shared" si="73"/>
        <v>32.212484755680443</v>
      </c>
      <c r="AE43" s="43">
        <f t="shared" si="74"/>
        <v>-41.590746661759091</v>
      </c>
      <c r="AF43" t="str">
        <f t="shared" si="54"/>
        <v>171,265703090588</v>
      </c>
      <c r="AG43" t="str">
        <f t="shared" si="55"/>
        <v>1+0,882124923279201i</v>
      </c>
      <c r="AH43">
        <f t="shared" si="75"/>
        <v>1.3334708021814112</v>
      </c>
      <c r="AI43">
        <f t="shared" si="76"/>
        <v>0.72285113428243541</v>
      </c>
      <c r="AJ43" t="str">
        <f t="shared" si="56"/>
        <v>1+0,0022346518122433i</v>
      </c>
      <c r="AK43">
        <f t="shared" si="77"/>
        <v>1.0000024968312438</v>
      </c>
      <c r="AL43">
        <f t="shared" si="78"/>
        <v>2.2346480925508252E-3</v>
      </c>
      <c r="AM43" t="str">
        <f t="shared" si="57"/>
        <v>1-0,000140471398156004i</v>
      </c>
      <c r="AN43">
        <f t="shared" si="79"/>
        <v>1.0000000098661068</v>
      </c>
      <c r="AO43">
        <f t="shared" si="80"/>
        <v>-1.404713972320668E-4</v>
      </c>
      <c r="AP43" s="41" t="str">
        <f t="shared" si="81"/>
        <v>96,495055638061-84,7620322705296i</v>
      </c>
      <c r="AQ43">
        <f t="shared" si="82"/>
        <v>42.173759593182055</v>
      </c>
      <c r="AR43" s="43">
        <f t="shared" si="83"/>
        <v>-41.296331724431461</v>
      </c>
      <c r="AS43" t="str">
        <f t="shared" si="58"/>
        <v>-0,0000166666666666667</v>
      </c>
      <c r="AT43" t="str">
        <f t="shared" si="59"/>
        <v>1,70057002911716E-07i</v>
      </c>
      <c r="AU43">
        <f t="shared" si="84"/>
        <v>1.7005700291171599E-7</v>
      </c>
      <c r="AV43">
        <f t="shared" si="85"/>
        <v>1.5707963267948966</v>
      </c>
      <c r="AW43" t="str">
        <f t="shared" si="60"/>
        <v>1+0,000532968861921365i</v>
      </c>
      <c r="AX43">
        <f t="shared" si="86"/>
        <v>1.0000001420278939</v>
      </c>
      <c r="AY43">
        <f t="shared" si="87"/>
        <v>5.3296881145707339E-4</v>
      </c>
      <c r="AZ43" t="str">
        <f t="shared" si="61"/>
        <v>1+0,0368717549020145i</v>
      </c>
      <c r="BA43">
        <f t="shared" si="88"/>
        <v>1.0006795322727222</v>
      </c>
      <c r="BB43">
        <f t="shared" si="89"/>
        <v>3.6855059145269348E-2</v>
      </c>
      <c r="BC43" s="41" t="str">
        <f t="shared" si="90"/>
        <v>-3,56143088255314+98,0082511857405i</v>
      </c>
      <c r="BD43">
        <f t="shared" si="91"/>
        <v>39.830983680653581</v>
      </c>
      <c r="BE43" s="43">
        <f t="shared" si="92"/>
        <v>92.081102479220363</v>
      </c>
      <c r="BF43" s="41" t="str">
        <f t="shared" si="93"/>
        <v>2545,49712757674+3086,87615950061i</v>
      </c>
      <c r="BG43" s="20">
        <f t="shared" si="94"/>
        <v>72.04346843633401</v>
      </c>
      <c r="BH43" s="43">
        <f t="shared" si="95"/>
        <v>50.490355817461264</v>
      </c>
      <c r="BI43" s="41" t="str">
        <f t="shared" si="96"/>
        <v>7963,71807862083+9759,18577055332i</v>
      </c>
      <c r="BJ43" s="20">
        <f t="shared" si="97"/>
        <v>82.004743273835629</v>
      </c>
      <c r="BK43" s="43">
        <f t="shared" si="98"/>
        <v>50.784770754788923</v>
      </c>
      <c r="BL43">
        <f t="shared" si="99"/>
        <v>72.04346843633401</v>
      </c>
      <c r="BM43" s="43">
        <f t="shared" si="100"/>
        <v>50.490355817461264</v>
      </c>
    </row>
    <row r="44" spans="1:65" x14ac:dyDescent="0.25">
      <c r="B44" s="1"/>
      <c r="N44" s="9">
        <v>26</v>
      </c>
      <c r="O44" s="34">
        <f t="shared" si="62"/>
        <v>18.197008586099841</v>
      </c>
      <c r="P44" s="33" t="str">
        <f t="shared" si="50"/>
        <v>54,631621870174</v>
      </c>
      <c r="Q44" s="4" t="str">
        <f t="shared" si="63"/>
        <v>1+0,911394311762832i</v>
      </c>
      <c r="R44" s="4">
        <f t="shared" si="64"/>
        <v>1.3530113050206367</v>
      </c>
      <c r="S44" s="4">
        <f t="shared" si="65"/>
        <v>0.73907475424612279</v>
      </c>
      <c r="T44" s="4" t="str">
        <f t="shared" si="51"/>
        <v>1+0,00228670353965606i</v>
      </c>
      <c r="U44" s="4">
        <f t="shared" si="66"/>
        <v>1.0000026145031213</v>
      </c>
      <c r="V44" s="4">
        <f t="shared" si="67"/>
        <v>2.2866995539343265E-3</v>
      </c>
      <c r="W44" t="str">
        <f t="shared" si="52"/>
        <v>1-0,000454978410886112i</v>
      </c>
      <c r="X44" s="4">
        <f t="shared" si="68"/>
        <v>1.0000001035026718</v>
      </c>
      <c r="Y44" s="4">
        <f t="shared" si="69"/>
        <v>-4.5497837949179349E-4</v>
      </c>
      <c r="Z44" t="str">
        <f t="shared" si="53"/>
        <v>0,999999998675476+0,0000625103537709717i</v>
      </c>
      <c r="AA44" s="4">
        <f t="shared" si="70"/>
        <v>1.000000000629248</v>
      </c>
      <c r="AB44" s="4">
        <f t="shared" si="71"/>
        <v>6.2510353772347513E-5</v>
      </c>
      <c r="AC44" s="47" t="str">
        <f t="shared" si="72"/>
        <v>29,8910697424113-27,145895866952i</v>
      </c>
      <c r="AD44" s="20">
        <f t="shared" si="73"/>
        <v>32.122876971513953</v>
      </c>
      <c r="AE44" s="43">
        <f t="shared" si="74"/>
        <v>-42.244495849877985</v>
      </c>
      <c r="AF44" t="str">
        <f t="shared" si="54"/>
        <v>171,265703090588</v>
      </c>
      <c r="AG44" t="str">
        <f t="shared" si="55"/>
        <v>1+0,902672252307805i</v>
      </c>
      <c r="AH44">
        <f t="shared" si="75"/>
        <v>1.3471515115555657</v>
      </c>
      <c r="AI44">
        <f t="shared" si="76"/>
        <v>0.73428952407703207</v>
      </c>
      <c r="AJ44" t="str">
        <f t="shared" si="56"/>
        <v>1+0,00228670353965606i</v>
      </c>
      <c r="AK44">
        <f t="shared" si="77"/>
        <v>1.0000026145031213</v>
      </c>
      <c r="AL44">
        <f t="shared" si="78"/>
        <v>2.2866995539343265E-3</v>
      </c>
      <c r="AM44" t="str">
        <f t="shared" si="57"/>
        <v>1-0,000143743397348919i</v>
      </c>
      <c r="AN44">
        <f t="shared" si="79"/>
        <v>1.000000010331082</v>
      </c>
      <c r="AO44">
        <f t="shared" si="80"/>
        <v>-1.4374339635890245E-4</v>
      </c>
      <c r="AP44" s="41" t="str">
        <f t="shared" si="81"/>
        <v>94,5533548095677-84,9836741737442i</v>
      </c>
      <c r="AQ44">
        <f t="shared" si="82"/>
        <v>42.085101979935843</v>
      </c>
      <c r="AR44" s="43">
        <f t="shared" si="83"/>
        <v>-41.948908326773157</v>
      </c>
      <c r="AS44" t="str">
        <f t="shared" si="58"/>
        <v>-0,0000166666666666667</v>
      </c>
      <c r="AT44" t="str">
        <f t="shared" si="59"/>
        <v>1,74018139367827E-07i</v>
      </c>
      <c r="AU44">
        <f t="shared" si="84"/>
        <v>1.7401813936782699E-7</v>
      </c>
      <c r="AV44">
        <f t="shared" si="85"/>
        <v>1.5707963267948966</v>
      </c>
      <c r="AW44" t="str">
        <f t="shared" si="60"/>
        <v>1+0,000545383301507983i</v>
      </c>
      <c r="AX44">
        <f t="shared" si="86"/>
        <v>1.0000001487214618</v>
      </c>
      <c r="AY44">
        <f t="shared" si="87"/>
        <v>5.4538324743452066E-4</v>
      </c>
      <c r="AZ44" t="str">
        <f t="shared" si="61"/>
        <v>1+0,037730608404325i</v>
      </c>
      <c r="BA44">
        <f t="shared" si="88"/>
        <v>1.0007115462562428</v>
      </c>
      <c r="BB44">
        <f t="shared" si="89"/>
        <v>3.7712719265599368E-2</v>
      </c>
      <c r="BC44" s="41" t="str">
        <f t="shared" si="90"/>
        <v>-3,56143083487579+95,7773984393885i</v>
      </c>
      <c r="BD44">
        <f t="shared" si="91"/>
        <v>39.631261499167628</v>
      </c>
      <c r="BE44" s="43">
        <f t="shared" si="92"/>
        <v>92.129531489585418</v>
      </c>
      <c r="BF44" s="41" t="str">
        <f t="shared" si="93"/>
        <v>2493,50830697516+2959,56712707937i</v>
      </c>
      <c r="BG44" s="20">
        <f t="shared" si="94"/>
        <v>71.754138470681582</v>
      </c>
      <c r="BH44" s="43">
        <f t="shared" si="95"/>
        <v>49.885035639707517</v>
      </c>
      <c r="BI44" s="41" t="str">
        <f t="shared" si="96"/>
        <v>7802,76998882212+9358,73781504025i</v>
      </c>
      <c r="BJ44" s="20">
        <f t="shared" si="97"/>
        <v>81.716363479103478</v>
      </c>
      <c r="BK44" s="43">
        <f t="shared" si="98"/>
        <v>50.180623162812289</v>
      </c>
      <c r="BL44">
        <f t="shared" si="99"/>
        <v>71.754138470681582</v>
      </c>
      <c r="BM44" s="43">
        <f t="shared" si="100"/>
        <v>49.885035639707517</v>
      </c>
    </row>
    <row r="45" spans="1:65" x14ac:dyDescent="0.25">
      <c r="A45" t="s">
        <v>219</v>
      </c>
      <c r="B45" s="18">
        <f>1/(Cout*Resr)</f>
        <v>49999.999999999993</v>
      </c>
      <c r="C45" t="s">
        <v>216</v>
      </c>
      <c r="E45" t="s">
        <v>209</v>
      </c>
      <c r="N45" s="9">
        <v>27</v>
      </c>
      <c r="O45" s="34">
        <f t="shared" si="62"/>
        <v>18.62087136662868</v>
      </c>
      <c r="P45" s="33" t="str">
        <f t="shared" si="50"/>
        <v>54,631621870174</v>
      </c>
      <c r="Q45" s="4" t="str">
        <f t="shared" si="63"/>
        <v>1+0,932623412431446i</v>
      </c>
      <c r="R45" s="4">
        <f t="shared" si="64"/>
        <v>1.3674013417483819</v>
      </c>
      <c r="S45" s="4">
        <f t="shared" si="65"/>
        <v>0.75054951660404967</v>
      </c>
      <c r="T45" s="4" t="str">
        <f t="shared" si="51"/>
        <v>1+0,00233996770755364i</v>
      </c>
      <c r="U45" s="4">
        <f t="shared" si="66"/>
        <v>1.0000027377206886</v>
      </c>
      <c r="V45" s="4">
        <f t="shared" si="67"/>
        <v>2.3399634367764887E-3</v>
      </c>
      <c r="W45" t="str">
        <f t="shared" si="52"/>
        <v>1-0,000465576219498792i</v>
      </c>
      <c r="X45" s="4">
        <f t="shared" si="68"/>
        <v>1.0000001083806023</v>
      </c>
      <c r="Y45" s="4">
        <f t="shared" si="69"/>
        <v>-4.6557618585917385E-4</v>
      </c>
      <c r="Z45" t="str">
        <f t="shared" si="53"/>
        <v>0,999999998613053+0,0000639664069588261i</v>
      </c>
      <c r="AA45" s="4">
        <f t="shared" si="70"/>
        <v>1.0000000006589036</v>
      </c>
      <c r="AB45" s="4">
        <f t="shared" si="71"/>
        <v>6.3966406960300301E-5</v>
      </c>
      <c r="AC45" s="47" t="str">
        <f t="shared" si="72"/>
        <v>29,267476437001-27,1966272935576i</v>
      </c>
      <c r="AD45" s="20">
        <f t="shared" si="73"/>
        <v>32.030986556440361</v>
      </c>
      <c r="AE45" s="43">
        <f t="shared" si="74"/>
        <v>-42.899590143494919</v>
      </c>
      <c r="AF45" t="str">
        <f t="shared" si="54"/>
        <v>171,265703090588</v>
      </c>
      <c r="AG45" t="str">
        <f t="shared" si="55"/>
        <v>1+0,923698190112861i</v>
      </c>
      <c r="AH45">
        <f t="shared" si="75"/>
        <v>1.3613296244546267</v>
      </c>
      <c r="AI45">
        <f t="shared" si="76"/>
        <v>0.7457548169281748</v>
      </c>
      <c r="AJ45" t="str">
        <f t="shared" si="56"/>
        <v>1+0,00233996770755364i</v>
      </c>
      <c r="AK45">
        <f t="shared" si="77"/>
        <v>1.0000027377206886</v>
      </c>
      <c r="AL45">
        <f t="shared" si="78"/>
        <v>2.3399634367764887E-3</v>
      </c>
      <c r="AM45" t="str">
        <f t="shared" si="57"/>
        <v>1-0,000147091611193776i</v>
      </c>
      <c r="AN45">
        <f t="shared" si="79"/>
        <v>1.000000010817971</v>
      </c>
      <c r="AO45">
        <f t="shared" si="80"/>
        <v>-1.4709161013295416E-4</v>
      </c>
      <c r="AP45" s="41" t="str">
        <f t="shared" si="81"/>
        <v>92,6025098921039-85,161206320811i</v>
      </c>
      <c r="AQ45">
        <f t="shared" si="82"/>
        <v>41.994165999582137</v>
      </c>
      <c r="AR45" s="43">
        <f t="shared" si="83"/>
        <v>-42.602961260855942</v>
      </c>
      <c r="AS45" t="str">
        <f t="shared" si="58"/>
        <v>-0,0000166666666666667</v>
      </c>
      <c r="AT45" t="str">
        <f t="shared" si="59"/>
        <v>1,78071542544833E-07i</v>
      </c>
      <c r="AU45">
        <f t="shared" si="84"/>
        <v>1.7807154254483299E-7</v>
      </c>
      <c r="AV45">
        <f t="shared" si="85"/>
        <v>1.5707963267948966</v>
      </c>
      <c r="AW45" t="str">
        <f t="shared" si="60"/>
        <v>1+0,00055808691054006i</v>
      </c>
      <c r="AX45">
        <f t="shared" si="86"/>
        <v>1.0000001557304876</v>
      </c>
      <c r="AY45">
        <f t="shared" si="87"/>
        <v>5.5808685259930177E-4</v>
      </c>
      <c r="AZ45" t="str">
        <f t="shared" si="61"/>
        <v>1+0,0386094671746351i</v>
      </c>
      <c r="BA45">
        <f t="shared" si="88"/>
        <v>1.0007450679146559</v>
      </c>
      <c r="BB45">
        <f t="shared" si="89"/>
        <v>3.859029938782637E-2</v>
      </c>
      <c r="BC45" s="41" t="str">
        <f t="shared" si="90"/>
        <v>-3,56143078495147+93,5973281374504i</v>
      </c>
      <c r="BD45">
        <f t="shared" si="91"/>
        <v>39.431552391809987</v>
      </c>
      <c r="BE45" s="43">
        <f t="shared" si="92"/>
        <v>92.17908526381305</v>
      </c>
      <c r="BF45" s="41" t="str">
        <f t="shared" si="93"/>
        <v>2441,29755744647+2836,21650151921i</v>
      </c>
      <c r="BG45" s="20">
        <f t="shared" si="94"/>
        <v>71.462538948250341</v>
      </c>
      <c r="BH45" s="43">
        <f t="shared" si="95"/>
        <v>49.279495120318188</v>
      </c>
      <c r="BI45" s="41" t="str">
        <f t="shared" si="96"/>
        <v>7641,06394309655+8970,64324659729i</v>
      </c>
      <c r="BJ45" s="20">
        <f t="shared" si="97"/>
        <v>81.425718391392138</v>
      </c>
      <c r="BK45" s="43">
        <f t="shared" si="98"/>
        <v>49.57612400295713</v>
      </c>
      <c r="BL45">
        <f t="shared" si="99"/>
        <v>71.462538948250341</v>
      </c>
      <c r="BM45" s="43">
        <f t="shared" si="100"/>
        <v>49.279495120318188</v>
      </c>
    </row>
    <row r="46" spans="1:65" x14ac:dyDescent="0.25">
      <c r="B46" s="18">
        <f>wz_esr/(2*PI())</f>
        <v>7957.7471545947656</v>
      </c>
      <c r="C46" t="s">
        <v>65</v>
      </c>
      <c r="N46" s="9">
        <v>28</v>
      </c>
      <c r="O46" s="34">
        <f t="shared" si="62"/>
        <v>19.054607179632477</v>
      </c>
      <c r="P46" s="33" t="str">
        <f t="shared" si="50"/>
        <v>54,631621870174</v>
      </c>
      <c r="Q46" s="4" t="str">
        <f t="shared" si="63"/>
        <v>1+0,954347002378062i</v>
      </c>
      <c r="R46" s="4">
        <f t="shared" si="64"/>
        <v>1.3823090106586127</v>
      </c>
      <c r="S46" s="4">
        <f t="shared" si="65"/>
        <v>0.7620426915382692</v>
      </c>
      <c r="T46" s="4" t="str">
        <f t="shared" si="51"/>
        <v>1+0,0023944725573029i</v>
      </c>
      <c r="U46" s="4">
        <f t="shared" si="66"/>
        <v>1.0000028667453047</v>
      </c>
      <c r="V46" s="4">
        <f t="shared" si="67"/>
        <v>2.3944679810834423E-3</v>
      </c>
      <c r="W46" t="str">
        <f t="shared" si="52"/>
        <v>1-0,000476420882785679i</v>
      </c>
      <c r="X46" s="4">
        <f t="shared" si="68"/>
        <v>1.0000001134884222</v>
      </c>
      <c r="Y46" s="4">
        <f t="shared" si="69"/>
        <v>-4.7642084674017897E-4</v>
      </c>
      <c r="Z46" t="str">
        <f t="shared" si="53"/>
        <v>0,999999998547688+0,0000654563759823456i</v>
      </c>
      <c r="AA46" s="4">
        <f t="shared" si="70"/>
        <v>1.0000000006899565</v>
      </c>
      <c r="AB46" s="4">
        <f t="shared" si="71"/>
        <v>6.5456375983925259E-5</v>
      </c>
      <c r="AC46" s="47" t="str">
        <f t="shared" si="72"/>
        <v>28,6418803597525-27,2330823823441i</v>
      </c>
      <c r="AD46" s="20">
        <f t="shared" si="73"/>
        <v>31.936804975402016</v>
      </c>
      <c r="AE46" s="43">
        <f t="shared" si="74"/>
        <v>-43.555684402313531</v>
      </c>
      <c r="AF46" t="str">
        <f t="shared" si="54"/>
        <v>171,265703090588</v>
      </c>
      <c r="AG46" t="str">
        <f t="shared" si="55"/>
        <v>1+0,945213884924907i</v>
      </c>
      <c r="AH46">
        <f t="shared" si="75"/>
        <v>1.376019363328451</v>
      </c>
      <c r="AI46">
        <f t="shared" si="76"/>
        <v>0.75724103571350798</v>
      </c>
      <c r="AJ46" t="str">
        <f t="shared" si="56"/>
        <v>1+0,0023944725573029i</v>
      </c>
      <c r="AK46">
        <f t="shared" si="77"/>
        <v>1.0000028667453047</v>
      </c>
      <c r="AL46">
        <f t="shared" si="78"/>
        <v>2.3944679810834423E-3</v>
      </c>
      <c r="AM46" t="str">
        <f t="shared" si="57"/>
        <v>1-0,000150517814957876i</v>
      </c>
      <c r="AN46">
        <f t="shared" si="79"/>
        <v>1.0000000113278062</v>
      </c>
      <c r="AO46">
        <f t="shared" si="80"/>
        <v>-1.5051781382118492E-4</v>
      </c>
      <c r="AP46" s="41" t="str">
        <f t="shared" si="81"/>
        <v>90,6445376015681-85,2941630469488i</v>
      </c>
      <c r="AQ46">
        <f t="shared" si="82"/>
        <v>41.900942127750852</v>
      </c>
      <c r="AR46" s="43">
        <f t="shared" si="83"/>
        <v>-43.258146546477441</v>
      </c>
      <c r="AS46" t="str">
        <f t="shared" si="58"/>
        <v>-0,0000166666666666667</v>
      </c>
      <c r="AT46" t="str">
        <f t="shared" si="59"/>
        <v>1,82219361610751E-07i</v>
      </c>
      <c r="AU46">
        <f t="shared" si="84"/>
        <v>1.82219361610751E-7</v>
      </c>
      <c r="AV46">
        <f t="shared" si="85"/>
        <v>1.5707963267948966</v>
      </c>
      <c r="AW46" t="str">
        <f t="shared" si="60"/>
        <v>1+0,000571086424639259i</v>
      </c>
      <c r="AX46">
        <f t="shared" si="86"/>
        <v>1.000000163069839</v>
      </c>
      <c r="AY46">
        <f t="shared" si="87"/>
        <v>5.7108636255461865E-4</v>
      </c>
      <c r="AZ46" t="str">
        <f t="shared" si="61"/>
        <v>1+0,0395087971954979i</v>
      </c>
      <c r="BA46">
        <f t="shared" si="88"/>
        <v>1.0007801681967099</v>
      </c>
      <c r="BB46">
        <f t="shared" si="89"/>
        <v>3.9488259406537211E-2</v>
      </c>
      <c r="BC46" s="41" t="str">
        <f t="shared" si="90"/>
        <v>-3,56143073267432+91,4668843777957i</v>
      </c>
      <c r="BD46">
        <f t="shared" si="91"/>
        <v>39.231856972909796</v>
      </c>
      <c r="BE46" s="43">
        <f t="shared" si="92"/>
        <v>92.229789766000494</v>
      </c>
      <c r="BF46" s="41" t="str">
        <f t="shared" si="93"/>
        <v>2388,91912456205+2716,77229577007i</v>
      </c>
      <c r="BG46" s="20">
        <f t="shared" si="94"/>
        <v>71.168661948311808</v>
      </c>
      <c r="BH46" s="43">
        <f t="shared" si="95"/>
        <v>48.674105363686948</v>
      </c>
      <c r="BI46" s="41" t="str">
        <f t="shared" si="96"/>
        <v>7478,76710755284+8594,74269387452i</v>
      </c>
      <c r="BJ46" s="20">
        <f t="shared" si="97"/>
        <v>81.132799100660662</v>
      </c>
      <c r="BK46" s="43">
        <f t="shared" si="98"/>
        <v>48.971643219523067</v>
      </c>
      <c r="BL46">
        <f t="shared" si="99"/>
        <v>71.168661948311808</v>
      </c>
      <c r="BM46" s="43">
        <f t="shared" si="100"/>
        <v>48.674105363686948</v>
      </c>
    </row>
    <row r="47" spans="1:65" x14ac:dyDescent="0.25">
      <c r="B47" s="1"/>
      <c r="N47" s="9">
        <v>29</v>
      </c>
      <c r="O47" s="34">
        <f t="shared" si="62"/>
        <v>19.498445997580465</v>
      </c>
      <c r="P47" s="33" t="str">
        <f t="shared" si="50"/>
        <v>54,631621870174</v>
      </c>
      <c r="Q47" s="4" t="str">
        <f t="shared" si="63"/>
        <v>1+0,976576599737617i</v>
      </c>
      <c r="R47" s="4">
        <f t="shared" si="64"/>
        <v>1.3977488526752888</v>
      </c>
      <c r="S47" s="4">
        <f t="shared" si="65"/>
        <v>0.77354822857757755</v>
      </c>
      <c r="T47" s="4" t="str">
        <f t="shared" si="51"/>
        <v>1+0,00245024698809664i</v>
      </c>
      <c r="U47" s="4">
        <f t="shared" si="66"/>
        <v>1.0000030018506458</v>
      </c>
      <c r="V47" s="4">
        <f t="shared" si="67"/>
        <v>2.4502420845899414E-3</v>
      </c>
      <c r="W47" t="str">
        <f t="shared" si="52"/>
        <v>1-0,000487518150730798i</v>
      </c>
      <c r="X47" s="4">
        <f t="shared" si="68"/>
        <v>1.0000001188369665</v>
      </c>
      <c r="Y47" s="4">
        <f t="shared" si="69"/>
        <v>-4.8751811210734911E-4</v>
      </c>
      <c r="Z47" t="str">
        <f t="shared" si="53"/>
        <v>0,999999998479242+0,0000669810508428287i</v>
      </c>
      <c r="AA47" s="4">
        <f t="shared" si="70"/>
        <v>1.0000000007224725</v>
      </c>
      <c r="AB47" s="4">
        <f t="shared" si="71"/>
        <v>6.6981050844521384E-5</v>
      </c>
      <c r="AC47" s="47" t="str">
        <f t="shared" si="72"/>
        <v>28,0149378308409-27,2551649571526i</v>
      </c>
      <c r="AD47" s="20">
        <f t="shared" si="73"/>
        <v>31.840326086218806</v>
      </c>
      <c r="AE47" s="43">
        <f t="shared" si="74"/>
        <v>-44.21243067886455</v>
      </c>
      <c r="AF47" t="str">
        <f t="shared" si="54"/>
        <v>171,265703090588</v>
      </c>
      <c r="AG47" t="str">
        <f t="shared" si="55"/>
        <v>1+0,967230744650126i</v>
      </c>
      <c r="AH47">
        <f t="shared" si="75"/>
        <v>1.391235175445344</v>
      </c>
      <c r="AI47">
        <f t="shared" si="76"/>
        <v>0.76874214830127696</v>
      </c>
      <c r="AJ47" t="str">
        <f t="shared" si="56"/>
        <v>1+0,00245024698809664i</v>
      </c>
      <c r="AK47">
        <f t="shared" si="77"/>
        <v>1.0000030018506458</v>
      </c>
      <c r="AL47">
        <f t="shared" si="78"/>
        <v>2.4502420845899414E-3</v>
      </c>
      <c r="AM47" t="str">
        <f t="shared" si="57"/>
        <v>1-0,000154023825259807i</v>
      </c>
      <c r="AN47">
        <f t="shared" si="79"/>
        <v>1.0000000118616694</v>
      </c>
      <c r="AO47">
        <f t="shared" si="80"/>
        <v>-1.5402382404182058E-4</v>
      </c>
      <c r="AP47" s="41" t="str">
        <f t="shared" si="81"/>
        <v>88,6814845663839-85,382194079386i</v>
      </c>
      <c r="AQ47">
        <f t="shared" si="82"/>
        <v>41.80542321918071</v>
      </c>
      <c r="AR47" s="43">
        <f t="shared" si="83"/>
        <v>-43.914117016312915</v>
      </c>
      <c r="AS47" t="str">
        <f t="shared" si="58"/>
        <v>-0,0000166666666666667</v>
      </c>
      <c r="AT47" t="str">
        <f t="shared" si="59"/>
        <v>1,86463795794155E-07i</v>
      </c>
      <c r="AU47">
        <f t="shared" si="84"/>
        <v>1.86463795794155E-7</v>
      </c>
      <c r="AV47">
        <f t="shared" si="85"/>
        <v>1.5707963267948966</v>
      </c>
      <c r="AW47" t="str">
        <f t="shared" si="60"/>
        <v>1+0,000584388736320026i</v>
      </c>
      <c r="AX47">
        <f t="shared" si="86"/>
        <v>1.000000170755083</v>
      </c>
      <c r="AY47">
        <f t="shared" si="87"/>
        <v>5.8438866979513583E-4</v>
      </c>
      <c r="AZ47" t="str">
        <f t="shared" si="61"/>
        <v>1+0,0404290753035946i</v>
      </c>
      <c r="BA47">
        <f t="shared" si="88"/>
        <v>1.0008169213846776</v>
      </c>
      <c r="BB47">
        <f t="shared" si="89"/>
        <v>4.0407069636282822E-2</v>
      </c>
      <c r="BC47" s="41" t="str">
        <f t="shared" si="90"/>
        <v>-3,56143067793339+89,3849375709417i</v>
      </c>
      <c r="BD47">
        <f t="shared" si="91"/>
        <v>39.032175885571803</v>
      </c>
      <c r="BE47" s="43">
        <f t="shared" si="92"/>
        <v>92.281671548275696</v>
      </c>
      <c r="BF47" s="41" t="str">
        <f t="shared" si="93"/>
        <v>2336,42795914965+2601,18084967407i</v>
      </c>
      <c r="BG47" s="20">
        <f t="shared" si="94"/>
        <v>70.872501971790612</v>
      </c>
      <c r="BH47" s="43">
        <f t="shared" si="95"/>
        <v>48.069240869411196</v>
      </c>
      <c r="BI47" s="41" t="str">
        <f t="shared" si="96"/>
        <v>7316,04912775655+8230,87172700824i</v>
      </c>
      <c r="BJ47" s="20">
        <f t="shared" si="97"/>
        <v>80.837599104752513</v>
      </c>
      <c r="BK47" s="43">
        <f t="shared" si="98"/>
        <v>48.367554531962774</v>
      </c>
      <c r="BL47">
        <f t="shared" si="99"/>
        <v>70.872501971790612</v>
      </c>
      <c r="BM47" s="43">
        <f t="shared" si="100"/>
        <v>48.069240869411196</v>
      </c>
    </row>
    <row r="48" spans="1:65" x14ac:dyDescent="0.25">
      <c r="A48" t="s">
        <v>212</v>
      </c>
      <c r="B48" s="1">
        <f>(Vsl*Fsw)</f>
        <v>45000</v>
      </c>
      <c r="C48" t="s">
        <v>150</v>
      </c>
      <c r="E48" t="s">
        <v>213</v>
      </c>
      <c r="N48" s="9">
        <v>30</v>
      </c>
      <c r="O48" s="34">
        <f t="shared" si="62"/>
        <v>19.952623149688804</v>
      </c>
      <c r="P48" s="33" t="str">
        <f t="shared" si="50"/>
        <v>54,631621870174</v>
      </c>
      <c r="Q48" s="4" t="str">
        <f t="shared" si="63"/>
        <v>1+0,999323990936872i</v>
      </c>
      <c r="R48" s="4">
        <f t="shared" si="64"/>
        <v>1.4137356325925994</v>
      </c>
      <c r="S48" s="4">
        <f t="shared" si="65"/>
        <v>0.78506004459307688</v>
      </c>
      <c r="T48" s="4" t="str">
        <f t="shared" si="51"/>
        <v>1+0,00250732057227632i</v>
      </c>
      <c r="U48" s="4">
        <f t="shared" si="66"/>
        <v>1.0000031433232859</v>
      </c>
      <c r="V48" s="4">
        <f t="shared" si="67"/>
        <v>2.5073153180751209E-3</v>
      </c>
      <c r="W48" t="str">
        <f t="shared" si="52"/>
        <v>1-0,000498873907252498i</v>
      </c>
      <c r="X48" s="4">
        <f t="shared" si="68"/>
        <v>1.00000012443758</v>
      </c>
      <c r="Y48" s="4">
        <f t="shared" si="69"/>
        <v>-4.9887386586672711E-4</v>
      </c>
      <c r="Z48" t="str">
        <f t="shared" si="53"/>
        <v>0,999999998407571+0,0000685412399430676i</v>
      </c>
      <c r="AA48" s="4">
        <f t="shared" si="70"/>
        <v>1.0000000007565217</v>
      </c>
      <c r="AB48" s="4">
        <f t="shared" si="71"/>
        <v>6.8541239944881326E-5</v>
      </c>
      <c r="AC48" s="47" t="str">
        <f t="shared" si="72"/>
        <v>27,3873108562623-27,2628166112807i</v>
      </c>
      <c r="AD48" s="20">
        <f t="shared" si="73"/>
        <v>31.74154616548909</v>
      </c>
      <c r="AE48" s="43">
        <f t="shared" si="74"/>
        <v>-44.869479124696269</v>
      </c>
      <c r="AF48" t="str">
        <f t="shared" si="54"/>
        <v>171,265703090588</v>
      </c>
      <c r="AG48" t="str">
        <f t="shared" si="55"/>
        <v>1+0,989760442918971i</v>
      </c>
      <c r="AH48">
        <f t="shared" si="75"/>
        <v>1.4069917321601992</v>
      </c>
      <c r="AI48">
        <f t="shared" si="76"/>
        <v>0.78025208326059314</v>
      </c>
      <c r="AJ48" t="str">
        <f t="shared" si="56"/>
        <v>1+0,00250732057227632i</v>
      </c>
      <c r="AK48">
        <f t="shared" si="77"/>
        <v>1.0000031433232859</v>
      </c>
      <c r="AL48">
        <f t="shared" si="78"/>
        <v>2.5073153180751209E-3</v>
      </c>
      <c r="AM48" t="str">
        <f t="shared" si="57"/>
        <v>1-0,000157611501032636i</v>
      </c>
      <c r="AN48">
        <f t="shared" si="79"/>
        <v>1.0000000124206925</v>
      </c>
      <c r="AO48">
        <f t="shared" si="80"/>
        <v>-1.5761149972754002E-4</v>
      </c>
      <c r="AP48" s="41" t="str">
        <f t="shared" si="81"/>
        <v>86,7154188382032-85,4250667810592i</v>
      </c>
      <c r="AQ48">
        <f t="shared" si="82"/>
        <v>41.707604537792527</v>
      </c>
      <c r="AR48" s="43">
        <f t="shared" si="83"/>
        <v>-44.570523215225009</v>
      </c>
      <c r="AS48" t="str">
        <f t="shared" si="58"/>
        <v>-0,0000166666666666667</v>
      </c>
      <c r="AT48" t="str">
        <f t="shared" si="59"/>
        <v>1,90807095550228E-07i</v>
      </c>
      <c r="AU48">
        <f t="shared" si="84"/>
        <v>1.9080709555022799E-7</v>
      </c>
      <c r="AV48">
        <f t="shared" si="85"/>
        <v>1.5707963267948966</v>
      </c>
      <c r="AW48" t="str">
        <f t="shared" si="60"/>
        <v>1+0,000598000898644089i</v>
      </c>
      <c r="AX48">
        <f t="shared" si="86"/>
        <v>1.0000001788025215</v>
      </c>
      <c r="AY48">
        <f t="shared" si="87"/>
        <v>5.9800082736138568E-4</v>
      </c>
      <c r="AZ48" t="str">
        <f t="shared" si="61"/>
        <v>1+0,0413707894425593i</v>
      </c>
      <c r="BA48">
        <f t="shared" si="88"/>
        <v>1.000855405250479</v>
      </c>
      <c r="BB48">
        <f t="shared" si="89"/>
        <v>4.1347211033503257E-2</v>
      </c>
      <c r="BC48" s="41" t="str">
        <f t="shared" si="90"/>
        <v>-3,56143062061262+87,350383841135i</v>
      </c>
      <c r="BD48">
        <f t="shared" si="91"/>
        <v>38.832509803015938</v>
      </c>
      <c r="BE48" s="43">
        <f t="shared" si="92"/>
        <v>92.334757763303344</v>
      </c>
      <c r="BF48" s="41" t="str">
        <f t="shared" si="93"/>
        <v>2283,87948808611+2489,38674555456i</v>
      </c>
      <c r="BG48" s="20">
        <f t="shared" si="94"/>
        <v>70.574055968505036</v>
      </c>
      <c r="BH48" s="43">
        <f t="shared" si="95"/>
        <v>47.465278638607138</v>
      </c>
      <c r="BI48" s="41" t="str">
        <f t="shared" si="96"/>
        <v>7153,08142505049+7878,86056906378i</v>
      </c>
      <c r="BJ48" s="20">
        <f t="shared" si="97"/>
        <v>80.540114340808472</v>
      </c>
      <c r="BK48" s="43">
        <f t="shared" si="98"/>
        <v>47.764234548078321</v>
      </c>
      <c r="BL48">
        <f t="shared" si="99"/>
        <v>70.574055968505036</v>
      </c>
      <c r="BM48" s="43">
        <f t="shared" si="100"/>
        <v>47.465278638607138</v>
      </c>
    </row>
    <row r="49" spans="1:65" x14ac:dyDescent="0.25">
      <c r="A49" t="s">
        <v>215</v>
      </c>
      <c r="B49" s="1">
        <f>(R_cs*VIN_var)/Lm</f>
        <v>11000</v>
      </c>
      <c r="C49" t="s">
        <v>150</v>
      </c>
      <c r="E49" t="s">
        <v>214</v>
      </c>
      <c r="J49">
        <f>(0.5-(1-(VIN_var/VOUT)))</f>
        <v>-0.29439252336448596</v>
      </c>
      <c r="N49" s="9">
        <v>31</v>
      </c>
      <c r="O49" s="34">
        <f t="shared" si="62"/>
        <v>20.4173794466953</v>
      </c>
      <c r="P49" s="33" t="str">
        <f t="shared" si="50"/>
        <v>54,631621870174</v>
      </c>
      <c r="Q49" s="4" t="str">
        <f t="shared" si="63"/>
        <v>1+1,02260123694373i</v>
      </c>
      <c r="R49" s="4">
        <f t="shared" si="64"/>
        <v>1.4302843387938102</v>
      </c>
      <c r="S49" s="4">
        <f t="shared" si="65"/>
        <v>0.79657203983606883</v>
      </c>
      <c r="T49" s="4" t="str">
        <f t="shared" si="51"/>
        <v>1+0,00256572357101172i</v>
      </c>
      <c r="U49" s="4">
        <f t="shared" si="66"/>
        <v>1.0000032914633046</v>
      </c>
      <c r="V49" s="4">
        <f t="shared" si="67"/>
        <v>2.5657179410347023E-3</v>
      </c>
      <c r="W49" t="str">
        <f t="shared" si="52"/>
        <v>1-0,000510494173323199i</v>
      </c>
      <c r="X49" s="4">
        <f t="shared" si="68"/>
        <v>1.000000130302142</v>
      </c>
      <c r="Y49" s="4">
        <f t="shared" si="69"/>
        <v>-5.1049412897754686E-4</v>
      </c>
      <c r="Z49" t="str">
        <f t="shared" si="53"/>
        <v>0,999999998332523+0,0000701377705159745i</v>
      </c>
      <c r="AA49" s="4">
        <f t="shared" si="70"/>
        <v>1.0000000007921763</v>
      </c>
      <c r="AB49" s="4">
        <f t="shared" si="71"/>
        <v>7.0137770517917885E-5</v>
      </c>
      <c r="AC49" s="47" t="str">
        <f t="shared" si="72"/>
        <v>26,7596643393322-27,2560170838245i</v>
      </c>
      <c r="AD49" s="20">
        <f t="shared" si="73"/>
        <v>31.640463924348548</v>
      </c>
      <c r="AE49" s="43">
        <f t="shared" si="74"/>
        <v>-45.526478908582988</v>
      </c>
      <c r="AF49" t="str">
        <f t="shared" si="54"/>
        <v>171,265703090588</v>
      </c>
      <c r="AG49" t="str">
        <f t="shared" si="55"/>
        <v>1+1,01281492527568i</v>
      </c>
      <c r="AH49">
        <f t="shared" si="75"/>
        <v>1.423303928492148</v>
      </c>
      <c r="AI49">
        <f t="shared" si="76"/>
        <v>0.79176474582400369</v>
      </c>
      <c r="AJ49" t="str">
        <f t="shared" si="56"/>
        <v>1+0,00256572357101172i</v>
      </c>
      <c r="AK49">
        <f t="shared" si="77"/>
        <v>1.0000032914633046</v>
      </c>
      <c r="AL49">
        <f t="shared" si="78"/>
        <v>2.5657179410347023E-3</v>
      </c>
      <c r="AM49" t="str">
        <f t="shared" si="57"/>
        <v>1-0,000161282744509546i</v>
      </c>
      <c r="AN49">
        <f t="shared" si="79"/>
        <v>1.0000000130060618</v>
      </c>
      <c r="AO49">
        <f t="shared" si="80"/>
        <v>-1.6128274311111047E-4</v>
      </c>
      <c r="AP49" s="41" t="str">
        <f t="shared" si="81"/>
        <v>84,7484212112042-85,422667647567i</v>
      </c>
      <c r="AQ49">
        <f t="shared" si="82"/>
        <v>41.607483776705735</v>
      </c>
      <c r="AR49" s="43">
        <f t="shared" si="83"/>
        <v>-45.227014314010049</v>
      </c>
      <c r="AS49" t="str">
        <f t="shared" si="58"/>
        <v>-0,0000166666666666667</v>
      </c>
      <c r="AT49" t="str">
        <f t="shared" si="59"/>
        <v>1,95251563753993E-07i</v>
      </c>
      <c r="AU49">
        <f t="shared" si="84"/>
        <v>1.9525156375399301E-7</v>
      </c>
      <c r="AV49">
        <f t="shared" si="85"/>
        <v>1.5707963267948966</v>
      </c>
      <c r="AW49" t="str">
        <f t="shared" si="60"/>
        <v>1+0,000611930128960088i</v>
      </c>
      <c r="AX49">
        <f t="shared" si="86"/>
        <v>1.0000001872292239</v>
      </c>
      <c r="AY49">
        <f t="shared" si="87"/>
        <v>6.1193005257929585E-4</v>
      </c>
      <c r="AZ49" t="str">
        <f t="shared" si="61"/>
        <v>1+0,0423344389216934i</v>
      </c>
      <c r="BA49">
        <f t="shared" si="88"/>
        <v>1.0008957012190705</v>
      </c>
      <c r="BB49">
        <f t="shared" si="89"/>
        <v>4.2309175422150749E-2</v>
      </c>
      <c r="BC49" s="41" t="str">
        <f t="shared" si="90"/>
        <v>-3,56143056059037+85,3621444410564i</v>
      </c>
      <c r="BD49">
        <f t="shared" si="91"/>
        <v>38.632859429977529</v>
      </c>
      <c r="BE49" s="43">
        <f t="shared" si="92"/>
        <v>92.389076176997847</v>
      </c>
      <c r="BF49" s="41" t="str">
        <f t="shared" si="93"/>
        <v>2231,32938082809+2381,33274473057i</v>
      </c>
      <c r="BG49" s="20">
        <f t="shared" si="94"/>
        <v>70.273323354326081</v>
      </c>
      <c r="BH49" s="43">
        <f t="shared" si="95"/>
        <v>46.862597268414895</v>
      </c>
      <c r="BI49" s="41" t="str">
        <f t="shared" si="96"/>
        <v>6990,0364770086+7538,5338717095i</v>
      </c>
      <c r="BJ49" s="20">
        <f t="shared" si="97"/>
        <v>80.240343206683264</v>
      </c>
      <c r="BK49" s="43">
        <f t="shared" si="98"/>
        <v>47.162061862987805</v>
      </c>
      <c r="BL49">
        <f t="shared" si="99"/>
        <v>70.273323354326081</v>
      </c>
      <c r="BM49" s="43">
        <f t="shared" si="100"/>
        <v>46.862597268414895</v>
      </c>
    </row>
    <row r="50" spans="1:65" x14ac:dyDescent="0.25">
      <c r="B50" s="1"/>
      <c r="J50">
        <f>Lm*Fsw</f>
        <v>1.5</v>
      </c>
      <c r="N50" s="9">
        <v>32</v>
      </c>
      <c r="O50" s="34">
        <f t="shared" si="62"/>
        <v>20.8929613085404</v>
      </c>
      <c r="P50" s="33" t="str">
        <f t="shared" si="50"/>
        <v>54,631621870174</v>
      </c>
      <c r="Q50" s="4" t="str">
        <f t="shared" si="63"/>
        <v>1+1,04642067966216i</v>
      </c>
      <c r="R50" s="4">
        <f t="shared" si="64"/>
        <v>1.4474101833359527</v>
      </c>
      <c r="S50" s="4">
        <f t="shared" si="65"/>
        <v>0.80807811408315477</v>
      </c>
      <c r="T50" s="4" t="str">
        <f t="shared" si="51"/>
        <v>1+0,00262548695034586i</v>
      </c>
      <c r="U50" s="4">
        <f t="shared" si="66"/>
        <v>1.0000034465849237</v>
      </c>
      <c r="V50" s="4">
        <f t="shared" si="67"/>
        <v>2.6254809177179207E-3</v>
      </c>
      <c r="W50" t="str">
        <f t="shared" si="52"/>
        <v>1-0,000522385110161789i</v>
      </c>
      <c r="X50" s="4">
        <f t="shared" si="68"/>
        <v>1.0000001364430924</v>
      </c>
      <c r="Y50" s="4">
        <f t="shared" si="69"/>
        <v>-5.2238506264456694E-4</v>
      </c>
      <c r="Z50" t="str">
        <f t="shared" si="53"/>
        <v>0,999999998253937+0,0000717714890631929i</v>
      </c>
      <c r="AA50" s="4">
        <f t="shared" si="70"/>
        <v>1.0000000008295102</v>
      </c>
      <c r="AB50" s="4">
        <f t="shared" si="71"/>
        <v>7.1771489065275285E-5</v>
      </c>
      <c r="AC50" s="47" t="str">
        <f t="shared" si="72"/>
        <v>26,1326632661588-27,234784390483i</v>
      </c>
      <c r="AD50" s="20">
        <f t="shared" si="73"/>
        <v>31.537080513945348</v>
      </c>
      <c r="AE50" s="43">
        <f t="shared" si="74"/>
        <v>-46.183079140861643</v>
      </c>
      <c r="AF50" t="str">
        <f t="shared" si="54"/>
        <v>171,265703090588</v>
      </c>
      <c r="AG50" t="str">
        <f t="shared" si="55"/>
        <v>1+1,03640641551196i</v>
      </c>
      <c r="AH50">
        <f t="shared" si="75"/>
        <v>1.4401868830517621</v>
      </c>
      <c r="AI50">
        <f t="shared" si="76"/>
        <v>0.80327403400042541</v>
      </c>
      <c r="AJ50" t="str">
        <f t="shared" si="56"/>
        <v>1+0,00262548695034586i</v>
      </c>
      <c r="AK50">
        <f t="shared" si="77"/>
        <v>1.0000034465849237</v>
      </c>
      <c r="AL50">
        <f t="shared" si="78"/>
        <v>2.6254809177179207E-3</v>
      </c>
      <c r="AM50" t="str">
        <f t="shared" si="57"/>
        <v>1-0,000165039502232427i</v>
      </c>
      <c r="AN50">
        <f t="shared" si="79"/>
        <v>1.0000000136190186</v>
      </c>
      <c r="AO50">
        <f t="shared" si="80"/>
        <v>-1.6503950073397633E-4</v>
      </c>
      <c r="AP50" s="41" t="str">
        <f t="shared" si="81"/>
        <v>82,7825764270709-85,3750030395069i</v>
      </c>
      <c r="AQ50">
        <f t="shared" si="82"/>
        <v>41.505061068019828</v>
      </c>
      <c r="AR50" s="43">
        <f t="shared" si="83"/>
        <v>-45.883239031740217</v>
      </c>
      <c r="AS50" t="str">
        <f t="shared" si="58"/>
        <v>-0,0000166666666666667</v>
      </c>
      <c r="AT50" t="str">
        <f t="shared" si="59"/>
        <v>1,99799556921319E-07i</v>
      </c>
      <c r="AU50">
        <f t="shared" si="84"/>
        <v>1.9979955692131899E-7</v>
      </c>
      <c r="AV50">
        <f t="shared" si="85"/>
        <v>1.5707963267948966</v>
      </c>
      <c r="AW50" t="str">
        <f t="shared" si="60"/>
        <v>1+0,00062618381273032i</v>
      </c>
      <c r="AX50">
        <f t="shared" si="86"/>
        <v>1.0000001960530644</v>
      </c>
      <c r="AY50">
        <f t="shared" si="87"/>
        <v>6.2618373088682761E-4</v>
      </c>
      <c r="AZ50" t="str">
        <f t="shared" si="61"/>
        <v>1+0,0433205346807067i</v>
      </c>
      <c r="BA50">
        <f t="shared" si="88"/>
        <v>1.0009378945394276</v>
      </c>
      <c r="BB50">
        <f t="shared" si="89"/>
        <v>4.3293465722993432E-2</v>
      </c>
      <c r="BC50" s="41" t="str">
        <f t="shared" si="90"/>
        <v>-3,56143049773944+83,4191651798588i</v>
      </c>
      <c r="BD50">
        <f t="shared" si="91"/>
        <v>38.433225504172491</v>
      </c>
      <c r="BE50" s="43">
        <f t="shared" si="92"/>
        <v>92.444655181442243</v>
      </c>
      <c r="BF50" s="41" t="str">
        <f t="shared" si="93"/>
        <v>2178,83331376429+2276,95974531695i</v>
      </c>
      <c r="BG50" s="20">
        <f t="shared" si="94"/>
        <v>69.970306018117839</v>
      </c>
      <c r="BH50" s="43">
        <f t="shared" si="95"/>
        <v>46.261576040580543</v>
      </c>
      <c r="BI50" s="41" t="str">
        <f t="shared" ref="BI50:BI113" si="101">IMPRODUCT(AP50,BC50)</f>
        <v>6827,08708841476+7209,71055655361i</v>
      </c>
      <c r="BJ50" s="20">
        <f t="shared" si="97"/>
        <v>79.938286572192311</v>
      </c>
      <c r="BK50" s="43">
        <f t="shared" ref="BK50:BK113" si="102">(180/PI())*IMARGUMENT(BI50)</f>
        <v>46.561416149702019</v>
      </c>
      <c r="BL50">
        <f t="shared" si="99"/>
        <v>69.970306018117839</v>
      </c>
      <c r="BM50" s="43">
        <f t="shared" si="100"/>
        <v>46.261576040580543</v>
      </c>
    </row>
    <row r="51" spans="1:65" x14ac:dyDescent="0.25">
      <c r="A51" t="s">
        <v>210</v>
      </c>
      <c r="B51" s="1">
        <f>2*PI()*Fsw</f>
        <v>6283185.307179586</v>
      </c>
      <c r="C51" t="s">
        <v>216</v>
      </c>
      <c r="N51" s="9">
        <v>33</v>
      </c>
      <c r="O51" s="34">
        <f t="shared" si="62"/>
        <v>21.379620895022335</v>
      </c>
      <c r="P51" s="33" t="str">
        <f t="shared" si="50"/>
        <v>54,631621870174</v>
      </c>
      <c r="Q51" s="4" t="str">
        <f t="shared" si="63"/>
        <v>1+1,07079494847595i</v>
      </c>
      <c r="R51" s="4">
        <f t="shared" si="64"/>
        <v>1.4651286024378927</v>
      </c>
      <c r="S51" s="4">
        <f t="shared" si="65"/>
        <v>0.81957218278434207</v>
      </c>
      <c r="T51" s="4" t="str">
        <f t="shared" si="51"/>
        <v>1+0,00268664239761348i</v>
      </c>
      <c r="U51" s="4">
        <f t="shared" si="66"/>
        <v>1.0000036090171738</v>
      </c>
      <c r="V51" s="4">
        <f t="shared" si="67"/>
        <v>2.6866359335374415E-3</v>
      </c>
      <c r="W51" t="str">
        <f t="shared" si="52"/>
        <v>1-0,000534553022500367i</v>
      </c>
      <c r="X51" s="4">
        <f t="shared" si="68"/>
        <v>1.0000001428734568</v>
      </c>
      <c r="Y51" s="4">
        <f t="shared" si="69"/>
        <v>-5.3455297158474667E-4</v>
      </c>
      <c r="Z51" t="str">
        <f t="shared" si="53"/>
        <v>0,999999998171647+0,0000734432618039199i</v>
      </c>
      <c r="AA51" s="4">
        <f t="shared" si="70"/>
        <v>1.0000000008686032</v>
      </c>
      <c r="AB51" s="4">
        <f t="shared" si="71"/>
        <v>7.344326180615127E-5</v>
      </c>
      <c r="AC51" s="47" t="str">
        <f t="shared" si="72"/>
        <v>25,5069698903772-27,1991747072543i</v>
      </c>
      <c r="AD51" s="20">
        <f t="shared" si="73"/>
        <v>31.431399520583479</v>
      </c>
      <c r="AE51" s="43">
        <f t="shared" si="74"/>
        <v>-46.838929797920422</v>
      </c>
      <c r="AF51" t="str">
        <f t="shared" si="54"/>
        <v>171,265703090588</v>
      </c>
      <c r="AG51" t="str">
        <f t="shared" si="55"/>
        <v>1+1,0605474221482i</v>
      </c>
      <c r="AH51">
        <f t="shared" si="75"/>
        <v>1.4576559383562337</v>
      </c>
      <c r="AI51">
        <f t="shared" si="76"/>
        <v>0.81477385473470387</v>
      </c>
      <c r="AJ51" t="str">
        <f t="shared" si="56"/>
        <v>1+0,00268664239761348i</v>
      </c>
      <c r="AK51">
        <f t="shared" si="77"/>
        <v>1.0000036090171738</v>
      </c>
      <c r="AL51">
        <f t="shared" si="78"/>
        <v>2.6866359335374415E-3</v>
      </c>
      <c r="AM51" t="str">
        <f t="shared" si="57"/>
        <v>1-0,000168883766083946i</v>
      </c>
      <c r="AN51">
        <f t="shared" si="79"/>
        <v>1.0000000142608632</v>
      </c>
      <c r="AO51">
        <f t="shared" si="80"/>
        <v>-1.6888376447832717E-4</v>
      </c>
      <c r="AP51" s="41" t="str">
        <f t="shared" si="81"/>
        <v>80,8199643444781-85,2821991414044i</v>
      </c>
      <c r="AQ51">
        <f t="shared" si="82"/>
        <v>41.40033898227184</v>
      </c>
      <c r="AR51" s="43">
        <f t="shared" si="83"/>
        <v>-46.538846560756774</v>
      </c>
      <c r="AS51" t="str">
        <f t="shared" si="58"/>
        <v>-0,0000166666666666667</v>
      </c>
      <c r="AT51" t="str">
        <f t="shared" si="59"/>
        <v>2,04453486458386E-07i</v>
      </c>
      <c r="AU51">
        <f t="shared" si="84"/>
        <v>2.0445348645838599E-7</v>
      </c>
      <c r="AV51">
        <f t="shared" si="85"/>
        <v>1.5707963267948966</v>
      </c>
      <c r="AW51" t="str">
        <f t="shared" si="60"/>
        <v>1+0,000640769507446579i</v>
      </c>
      <c r="AX51">
        <f t="shared" si="86"/>
        <v>1.0000002052927599</v>
      </c>
      <c r="AY51">
        <f t="shared" si="87"/>
        <v>6.4076941974969791E-4</v>
      </c>
      <c r="AZ51" t="str">
        <f t="shared" si="61"/>
        <v>1+0,0443295995606224i</v>
      </c>
      <c r="BA51">
        <f t="shared" si="88"/>
        <v>1.0009820744634768</v>
      </c>
      <c r="BB51">
        <f t="shared" si="89"/>
        <v>4.4300596186571575E-2</v>
      </c>
      <c r="BC51" s="41" t="str">
        <f t="shared" si="90"/>
        <v>-3,56143043192636+81,5204158642187i</v>
      </c>
      <c r="BD51">
        <f t="shared" si="91"/>
        <v>38.233608797829071</v>
      </c>
      <c r="BE51" s="43">
        <f t="shared" si="92"/>
        <v>92.501523808011186</v>
      </c>
      <c r="BF51" s="41" t="str">
        <f t="shared" si="93"/>
        <v>2126,44673450509+2176,20676142535i</v>
      </c>
      <c r="BG51" s="20">
        <f t="shared" si="94"/>
        <v>69.665008318412546</v>
      </c>
      <c r="BH51" s="43">
        <f t="shared" si="95"/>
        <v>45.662594010090764</v>
      </c>
      <c r="BI51" s="41" t="str">
        <f t="shared" si="101"/>
        <v>6664,40565929877+6892,20372281698i</v>
      </c>
      <c r="BJ51" s="20">
        <f t="shared" si="97"/>
        <v>79.633947780100897</v>
      </c>
      <c r="BK51" s="43">
        <f t="shared" si="102"/>
        <v>45.962677247254426</v>
      </c>
      <c r="BL51">
        <f t="shared" si="99"/>
        <v>69.665008318412546</v>
      </c>
      <c r="BM51" s="43">
        <f t="shared" si="100"/>
        <v>45.662594010090764</v>
      </c>
    </row>
    <row r="52" spans="1:65" x14ac:dyDescent="0.25">
      <c r="A52" t="s">
        <v>211</v>
      </c>
      <c r="B52" s="1">
        <f>1/(PI()*(((VIN_var/VOUT)*(1+(B48/B49)))-0.5))</f>
        <v>0.58220782601137799</v>
      </c>
      <c r="N52" s="9">
        <v>34</v>
      </c>
      <c r="O52" s="34">
        <f t="shared" si="62"/>
        <v>21.877616239495538</v>
      </c>
      <c r="P52" s="33" t="str">
        <f t="shared" si="50"/>
        <v>54,631621870174</v>
      </c>
      <c r="Q52" s="4" t="str">
        <f t="shared" si="63"/>
        <v>1+1,09573696694507i</v>
      </c>
      <c r="R52" s="4">
        <f t="shared" si="64"/>
        <v>1.4834552574075099</v>
      </c>
      <c r="S52" s="4">
        <f t="shared" si="65"/>
        <v>0.83104819311013989</v>
      </c>
      <c r="T52" s="4" t="str">
        <f t="shared" si="51"/>
        <v>1+0,00274922233824224i</v>
      </c>
      <c r="U52" s="4">
        <f t="shared" si="66"/>
        <v>1.0000037791045917</v>
      </c>
      <c r="V52" s="4">
        <f t="shared" si="67"/>
        <v>2.7492154118613885E-3</v>
      </c>
      <c r="W52" t="str">
        <f t="shared" si="52"/>
        <v>1-0,000547004361927122i</v>
      </c>
      <c r="X52" s="4">
        <f t="shared" si="68"/>
        <v>1.0000001496068749</v>
      </c>
      <c r="Y52" s="4">
        <f t="shared" si="69"/>
        <v>-5.4700430737005229E-4</v>
      </c>
      <c r="Z52" t="str">
        <f t="shared" si="53"/>
        <v>0,99999999808548+0,000075153975134192i</v>
      </c>
      <c r="AA52" s="4">
        <f t="shared" si="70"/>
        <v>1.0000000009095398</v>
      </c>
      <c r="AB52" s="4">
        <f t="shared" si="71"/>
        <v>7.5153975136582895E-5</v>
      </c>
      <c r="AC52" s="47" t="str">
        <f t="shared" si="72"/>
        <v>24,8832409424207-27,1492820084213i</v>
      </c>
      <c r="AD52" s="20">
        <f t="shared" si="73"/>
        <v>31.323426950576113</v>
      </c>
      <c r="AE52" s="43">
        <f t="shared" si="74"/>
        <v>-47.493682640888672</v>
      </c>
      <c r="AF52" t="str">
        <f t="shared" si="54"/>
        <v>171,265703090588</v>
      </c>
      <c r="AG52" t="str">
        <f t="shared" si="55"/>
        <v>1+1,08525074506567i</v>
      </c>
      <c r="AH52">
        <f t="shared" si="75"/>
        <v>1.4757266615690021</v>
      </c>
      <c r="AI52">
        <f t="shared" si="76"/>
        <v>0.82625814000950937</v>
      </c>
      <c r="AJ52" t="str">
        <f t="shared" si="56"/>
        <v>1+0,00274922233824224i</v>
      </c>
      <c r="AK52">
        <f t="shared" si="77"/>
        <v>1.0000037791045917</v>
      </c>
      <c r="AL52">
        <f t="shared" si="78"/>
        <v>2.7492154118613885E-3</v>
      </c>
      <c r="AM52" t="str">
        <f t="shared" si="57"/>
        <v>1-0,000172817574343684i</v>
      </c>
      <c r="AN52">
        <f t="shared" si="79"/>
        <v>1.0000000149329569</v>
      </c>
      <c r="AO52">
        <f t="shared" si="80"/>
        <v>-1.7281757262323241E-4</v>
      </c>
      <c r="AP52" s="41" t="str">
        <f t="shared" si="81"/>
        <v>78,8626511524762-85,1445011477438i</v>
      </c>
      <c r="AQ52">
        <f t="shared" si="82"/>
        <v>41.293322517576279</v>
      </c>
      <c r="AR52" s="43">
        <f t="shared" si="83"/>
        <v>-47.193487488339386</v>
      </c>
      <c r="AS52" t="str">
        <f t="shared" si="58"/>
        <v>-0,0000166666666666667</v>
      </c>
      <c r="AT52" t="str">
        <f t="shared" si="59"/>
        <v>2,09215819940234E-07i</v>
      </c>
      <c r="AU52">
        <f t="shared" si="84"/>
        <v>2.0921581994023401E-7</v>
      </c>
      <c r="AV52">
        <f t="shared" si="85"/>
        <v>1.5707963267948966</v>
      </c>
      <c r="AW52" t="str">
        <f t="shared" si="60"/>
        <v>1+0,000655694946637275i</v>
      </c>
      <c r="AX52">
        <f t="shared" si="86"/>
        <v>1.0000002149679084</v>
      </c>
      <c r="AY52">
        <f t="shared" si="87"/>
        <v>6.5569485266837499E-4</v>
      </c>
      <c r="AZ52" t="str">
        <f t="shared" si="61"/>
        <v>1+0,045362168580997i</v>
      </c>
      <c r="BA52">
        <f t="shared" si="88"/>
        <v>1.0010283344333319</v>
      </c>
      <c r="BB52">
        <f t="shared" si="89"/>
        <v>4.5331092629780724E-2</v>
      </c>
      <c r="BC52" s="41" t="str">
        <f t="shared" si="90"/>
        <v>-3,56143036301166+79,6648897521165i</v>
      </c>
      <c r="BD52">
        <f t="shared" si="91"/>
        <v>38.034010119290144</v>
      </c>
      <c r="BE52" s="43">
        <f t="shared" si="92"/>
        <v>92.559711740696685</v>
      </c>
      <c r="BF52" s="41" t="str">
        <f t="shared" si="93"/>
        <v>2074,22462822753+2079,01092363205i</v>
      </c>
      <c r="BG52" s="20">
        <f t="shared" si="94"/>
        <v>69.357437069866251</v>
      </c>
      <c r="BH52" s="43">
        <f t="shared" si="95"/>
        <v>45.066029099807956</v>
      </c>
      <c r="BI52" s="41" t="str">
        <f t="shared" si="101"/>
        <v>6502,16345661194+6585,8206212527i</v>
      </c>
      <c r="BJ52" s="20">
        <f t="shared" si="97"/>
        <v>79.327332636866416</v>
      </c>
      <c r="BK52" s="43">
        <f t="shared" si="102"/>
        <v>45.36622425235732</v>
      </c>
      <c r="BL52">
        <f t="shared" si="99"/>
        <v>69.357437069866251</v>
      </c>
      <c r="BM52" s="43">
        <f t="shared" si="100"/>
        <v>45.066029099807956</v>
      </c>
    </row>
    <row r="53" spans="1:65" x14ac:dyDescent="0.25">
      <c r="N53" s="9">
        <v>35</v>
      </c>
      <c r="O53" s="34">
        <f t="shared" si="62"/>
        <v>22.387211385683404</v>
      </c>
      <c r="P53" s="33" t="str">
        <f t="shared" si="50"/>
        <v>54,631621870174</v>
      </c>
      <c r="Q53" s="4" t="str">
        <f t="shared" si="63"/>
        <v>1+1,12125995965786i</v>
      </c>
      <c r="R53" s="4">
        <f t="shared" si="64"/>
        <v>1.5024060360408387</v>
      </c>
      <c r="S53" s="4">
        <f t="shared" si="65"/>
        <v>0.84250013979453675</v>
      </c>
      <c r="T53" s="4" t="str">
        <f t="shared" si="51"/>
        <v>1+0,002813259952945i</v>
      </c>
      <c r="U53" s="4">
        <f t="shared" si="66"/>
        <v>1.0000039572079515</v>
      </c>
      <c r="V53" s="4">
        <f t="shared" si="67"/>
        <v>2.8132525311957879E-3</v>
      </c>
      <c r="W53" t="str">
        <f t="shared" si="52"/>
        <v>1-0,000559745730307031i</v>
      </c>
      <c r="X53" s="4">
        <f t="shared" si="68"/>
        <v>1.0000001566576291</v>
      </c>
      <c r="Y53" s="4">
        <f t="shared" si="69"/>
        <v>-5.597456718480782E-4</v>
      </c>
      <c r="Z53" t="str">
        <f t="shared" si="53"/>
        <v>0,999999997995251+0,0000769045360968609i</v>
      </c>
      <c r="AA53" s="4">
        <f t="shared" si="70"/>
        <v>1.0000000009524048</v>
      </c>
      <c r="AB53" s="4">
        <f t="shared" si="71"/>
        <v>7.6904536099422824E-5</v>
      </c>
      <c r="AC53" s="47" t="str">
        <f t="shared" si="72"/>
        <v>24,2621248882581-27,0852374631575i</v>
      </c>
      <c r="AD53" s="20">
        <f t="shared" si="73"/>
        <v>31.213171204947198</v>
      </c>
      <c r="AE53" s="43">
        <f t="shared" si="74"/>
        <v>-48.146992122608317</v>
      </c>
      <c r="AF53" t="str">
        <f t="shared" si="54"/>
        <v>171,265703090588</v>
      </c>
      <c r="AG53" t="str">
        <f t="shared" si="55"/>
        <v>1+1,11052948229317i</v>
      </c>
      <c r="AH53">
        <f t="shared" si="75"/>
        <v>1.4944148456979194</v>
      </c>
      <c r="AI53">
        <f t="shared" si="76"/>
        <v>0.83772086278593627</v>
      </c>
      <c r="AJ53" t="str">
        <f t="shared" si="56"/>
        <v>1+0,002813259952945i</v>
      </c>
      <c r="AK53">
        <f t="shared" si="77"/>
        <v>1.0000039572079515</v>
      </c>
      <c r="AL53">
        <f t="shared" si="78"/>
        <v>2.8132525311957879E-3</v>
      </c>
      <c r="AM53" t="str">
        <f t="shared" si="57"/>
        <v>1-0,000176843012768851i</v>
      </c>
      <c r="AN53">
        <f t="shared" si="79"/>
        <v>1.0000000156367255</v>
      </c>
      <c r="AO53">
        <f t="shared" si="80"/>
        <v>-1.7684301092535392E-4</v>
      </c>
      <c r="AP53" s="41" t="str">
        <f t="shared" si="81"/>
        <v>76,91268070647-84,9622716858368i</v>
      </c>
      <c r="AQ53">
        <f t="shared" si="82"/>
        <v>41.184019078543471</v>
      </c>
      <c r="AR53" s="43">
        <f t="shared" si="83"/>
        <v>-47.846814709112479</v>
      </c>
      <c r="AS53" t="str">
        <f t="shared" si="58"/>
        <v>-0,0000166666666666667</v>
      </c>
      <c r="AT53" t="str">
        <f t="shared" si="59"/>
        <v>2,14089082419114E-07i</v>
      </c>
      <c r="AU53">
        <f t="shared" si="84"/>
        <v>2.1408908241911401E-7</v>
      </c>
      <c r="AV53">
        <f t="shared" si="85"/>
        <v>1.5707963267948966</v>
      </c>
      <c r="AW53" t="str">
        <f t="shared" si="60"/>
        <v>1+0,000670968043967828i</v>
      </c>
      <c r="AX53">
        <f t="shared" si="86"/>
        <v>1.0000002250990327</v>
      </c>
      <c r="AY53">
        <f t="shared" si="87"/>
        <v>6.7096794327833886E-4</v>
      </c>
      <c r="AZ53" t="str">
        <f t="shared" si="61"/>
        <v>1+0,0464187892235925i</v>
      </c>
      <c r="BA53">
        <f t="shared" si="88"/>
        <v>1.0010767722772236</v>
      </c>
      <c r="BB53">
        <f t="shared" si="89"/>
        <v>4.638549267602974E-2</v>
      </c>
      <c r="BC53" s="41" t="str">
        <f t="shared" si="90"/>
        <v>-3,56143029084909+77,8516030190457i</v>
      </c>
      <c r="BD53">
        <f t="shared" si="91"/>
        <v>37.834430314688056</v>
      </c>
      <c r="BE53" s="43">
        <f t="shared" si="92"/>
        <v>92.619249329633064</v>
      </c>
      <c r="BF53" s="41" t="str">
        <f t="shared" si="93"/>
        <v>2022,22128816092+1985,30750033531i</v>
      </c>
      <c r="BG53" s="20">
        <f t="shared" si="94"/>
        <v>69.047601519635265</v>
      </c>
      <c r="BH53" s="43">
        <f t="shared" si="95"/>
        <v>44.472257207024732</v>
      </c>
      <c r="BI53" s="41" t="str">
        <f t="shared" si="101"/>
        <v>6340,52989606365+6290,36269345201i</v>
      </c>
      <c r="BJ53" s="20">
        <f t="shared" si="97"/>
        <v>79.018449393231521</v>
      </c>
      <c r="BK53" s="43">
        <f t="shared" si="102"/>
        <v>44.772434620520592</v>
      </c>
      <c r="BL53">
        <f t="shared" si="99"/>
        <v>69.047601519635265</v>
      </c>
      <c r="BM53" s="43">
        <f t="shared" si="100"/>
        <v>44.472257207024732</v>
      </c>
    </row>
    <row r="54" spans="1:65" ht="15.75" x14ac:dyDescent="0.25">
      <c r="A54" s="35" t="s">
        <v>225</v>
      </c>
      <c r="N54" s="9">
        <v>36</v>
      </c>
      <c r="O54" s="34">
        <f t="shared" si="62"/>
        <v>22.908676527677727</v>
      </c>
      <c r="P54" s="33" t="str">
        <f t="shared" si="50"/>
        <v>54,631621870174</v>
      </c>
      <c r="Q54" s="4" t="str">
        <f t="shared" si="63"/>
        <v>1+1,14737745924289i</v>
      </c>
      <c r="R54" s="4">
        <f t="shared" si="64"/>
        <v>1.521997054523651</v>
      </c>
      <c r="S54" s="4">
        <f t="shared" si="65"/>
        <v>0.85392208067344588</v>
      </c>
      <c r="T54" s="4" t="str">
        <f t="shared" si="51"/>
        <v>1+0,0028787891953127i</v>
      </c>
      <c r="U54" s="4">
        <f t="shared" si="66"/>
        <v>1.0000041437050304</v>
      </c>
      <c r="V54" s="4">
        <f t="shared" si="67"/>
        <v>2.8787812427669207E-3</v>
      </c>
      <c r="W54" t="str">
        <f t="shared" si="52"/>
        <v>1-0,000572783883282257i</v>
      </c>
      <c r="X54" s="4">
        <f t="shared" si="68"/>
        <v>1.000000164040675</v>
      </c>
      <c r="Y54" s="4">
        <f t="shared" si="69"/>
        <v>-5.7278382064236092E-4</v>
      </c>
      <c r="Z54" t="str">
        <f t="shared" si="53"/>
        <v>0,99999999790077+0,00007869587286252i</v>
      </c>
      <c r="AA54" s="4">
        <f t="shared" si="70"/>
        <v>1.00000000099729</v>
      </c>
      <c r="AB54" s="4">
        <f t="shared" si="71"/>
        <v>7.8695872865265165E-5</v>
      </c>
      <c r="AC54" s="47" t="str">
        <f t="shared" si="72"/>
        <v>23,6442592617385-27,0072085979415i</v>
      </c>
      <c r="AD54" s="20">
        <f t="shared" si="73"/>
        <v>31.100643044205455</v>
      </c>
      <c r="AE54" s="43">
        <f t="shared" si="74"/>
        <v>-48.798516277142681</v>
      </c>
      <c r="AF54" t="str">
        <f t="shared" si="54"/>
        <v>171,265703090588</v>
      </c>
      <c r="AG54" t="str">
        <f t="shared" si="55"/>
        <v>1+1,13639703695178i</v>
      </c>
      <c r="AH54">
        <f t="shared" si="75"/>
        <v>1.5137365112835144</v>
      </c>
      <c r="AI54">
        <f t="shared" si="76"/>
        <v>0.84915605268115502</v>
      </c>
      <c r="AJ54" t="str">
        <f t="shared" si="56"/>
        <v>1+0,0028787891953127i</v>
      </c>
      <c r="AK54">
        <f t="shared" si="77"/>
        <v>1.0000041437050304</v>
      </c>
      <c r="AL54">
        <f t="shared" si="78"/>
        <v>2.8787812427669207E-3</v>
      </c>
      <c r="AM54" t="str">
        <f t="shared" si="57"/>
        <v>1-0,000180962215700181i</v>
      </c>
      <c r="AN54">
        <f t="shared" si="79"/>
        <v>1.0000000163736615</v>
      </c>
      <c r="AO54">
        <f t="shared" si="80"/>
        <v>-1.8096221372483829E-4</v>
      </c>
      <c r="AP54" s="41" t="str">
        <f t="shared" si="81"/>
        <v>74,9720660636235-84,7359884943747i</v>
      </c>
      <c r="AQ54">
        <f t="shared" si="82"/>
        <v>41.072438445166448</v>
      </c>
      <c r="AR54" s="43">
        <f t="shared" si="83"/>
        <v>-48.498484322364561</v>
      </c>
      <c r="AS54" t="str">
        <f t="shared" si="58"/>
        <v>-0,0000166666666666667</v>
      </c>
      <c r="AT54" t="str">
        <f t="shared" si="59"/>
        <v>2,19075857763296E-07i</v>
      </c>
      <c r="AU54">
        <f t="shared" si="84"/>
        <v>2.1907585776329599E-7</v>
      </c>
      <c r="AV54">
        <f t="shared" si="85"/>
        <v>1.5707963267948966</v>
      </c>
      <c r="AW54" t="str">
        <f t="shared" si="60"/>
        <v>1+0,000686596897436603i</v>
      </c>
      <c r="AX54">
        <f t="shared" si="86"/>
        <v>1.0000002357076219</v>
      </c>
      <c r="AY54">
        <f t="shared" si="87"/>
        <v>6.8659678954587284E-4</v>
      </c>
      <c r="AZ54" t="str">
        <f t="shared" si="61"/>
        <v>1+0,0475000217226596i</v>
      </c>
      <c r="BA54">
        <f t="shared" si="88"/>
        <v>1.0011274904145091</v>
      </c>
      <c r="BB54">
        <f t="shared" si="89"/>
        <v>4.7464345998930513E-2</v>
      </c>
      <c r="BC54" s="41" t="str">
        <f t="shared" si="90"/>
        <v>-3,56143021528561+76,079594236379i</v>
      </c>
      <c r="BD54">
        <f t="shared" si="91"/>
        <v>37.634870269696485</v>
      </c>
      <c r="BE54" s="43">
        <f t="shared" si="92"/>
        <v>92.680167604819161</v>
      </c>
      <c r="BF54" s="41" t="str">
        <f t="shared" si="93"/>
        <v>1970,49009223583+1895,02993938404i</v>
      </c>
      <c r="BG54" s="20">
        <f t="shared" si="94"/>
        <v>68.735513313901919</v>
      </c>
      <c r="BH54" s="43">
        <f t="shared" si="95"/>
        <v>43.881651327676515</v>
      </c>
      <c r="BI54" s="41" t="str">
        <f t="shared" si="101"/>
        <v>6179,67184048913+6005,62567492944i</v>
      </c>
      <c r="BJ54" s="20">
        <f t="shared" si="97"/>
        <v>78.707308714862933</v>
      </c>
      <c r="BK54" s="43">
        <f t="shared" si="102"/>
        <v>44.181683282454614</v>
      </c>
      <c r="BL54">
        <f t="shared" si="99"/>
        <v>68.735513313901919</v>
      </c>
      <c r="BM54" s="43">
        <f t="shared" si="100"/>
        <v>43.881651327676515</v>
      </c>
    </row>
    <row r="55" spans="1:65" x14ac:dyDescent="0.25">
      <c r="A55" t="s">
        <v>191</v>
      </c>
      <c r="N55" s="9">
        <v>37</v>
      </c>
      <c r="O55" s="34">
        <f t="shared" si="62"/>
        <v>23.442288153199236</v>
      </c>
      <c r="P55" s="33" t="str">
        <f t="shared" si="50"/>
        <v>54,631621870174</v>
      </c>
      <c r="Q55" s="4" t="str">
        <f t="shared" si="63"/>
        <v>1+1,17410331354415i</v>
      </c>
      <c r="R55" s="4">
        <f t="shared" si="64"/>
        <v>1.5422446598628095</v>
      </c>
      <c r="S55" s="4">
        <f t="shared" si="65"/>
        <v>0.86530815182169141</v>
      </c>
      <c r="T55" s="4" t="str">
        <f t="shared" si="51"/>
        <v>1+0,00294584480981704i</v>
      </c>
      <c r="U55" s="4">
        <f t="shared" si="66"/>
        <v>1.0000043389914084</v>
      </c>
      <c r="V55" s="4">
        <f t="shared" si="67"/>
        <v>2.9458362885127079E-3</v>
      </c>
      <c r="W55" t="str">
        <f t="shared" si="52"/>
        <v>1-0,000586125733854092i</v>
      </c>
      <c r="X55" s="4">
        <f t="shared" si="68"/>
        <v>1.0000001717716733</v>
      </c>
      <c r="Y55" s="4">
        <f t="shared" si="69"/>
        <v>-5.8612566673423472E-4</v>
      </c>
      <c r="Z55" t="str">
        <f t="shared" si="53"/>
        <v>0,999999997801836+0,000080528935221634i</v>
      </c>
      <c r="AA55" s="4">
        <f t="shared" si="70"/>
        <v>1.0000000010442907</v>
      </c>
      <c r="AB55" s="4">
        <f t="shared" si="71"/>
        <v>8.0528935224575515E-5</v>
      </c>
      <c r="AC55" s="47" t="str">
        <f t="shared" si="72"/>
        <v>23,0302680935824-26,9153982346856i</v>
      </c>
      <c r="AD55" s="20">
        <f t="shared" si="73"/>
        <v>30.985855543504385</v>
      </c>
      <c r="AE55" s="43">
        <f t="shared" si="74"/>
        <v>-49.447917586265298</v>
      </c>
      <c r="AF55" t="str">
        <f t="shared" si="54"/>
        <v>171,265703090588</v>
      </c>
      <c r="AG55" t="str">
        <f t="shared" si="55"/>
        <v>1+1,16286712436137i</v>
      </c>
      <c r="AH55">
        <f t="shared" si="75"/>
        <v>1.5337079086059644</v>
      </c>
      <c r="AI55">
        <f t="shared" si="76"/>
        <v>0.860557811284556</v>
      </c>
      <c r="AJ55" t="str">
        <f t="shared" si="56"/>
        <v>1+0,00294584480981704i</v>
      </c>
      <c r="AK55">
        <f t="shared" si="77"/>
        <v>1.0000043389914084</v>
      </c>
      <c r="AL55">
        <f t="shared" si="78"/>
        <v>2.9458362885127079E-3</v>
      </c>
      <c r="AM55" t="str">
        <f t="shared" si="57"/>
        <v>1-0,000185177367193594i</v>
      </c>
      <c r="AN55">
        <f t="shared" si="79"/>
        <v>1.0000000171453285</v>
      </c>
      <c r="AO55">
        <f t="shared" si="80"/>
        <v>-1.8517736507697616E-4</v>
      </c>
      <c r="AP55" s="41" t="str">
        <f t="shared" si="81"/>
        <v>73,0427812914602-84,4662413851966i</v>
      </c>
      <c r="AQ55">
        <f t="shared" si="82"/>
        <v>40.958592731952351</v>
      </c>
      <c r="AR55" s="43">
        <f t="shared" si="83"/>
        <v>-49.148156508632631</v>
      </c>
      <c r="AS55" t="str">
        <f t="shared" si="58"/>
        <v>-0,0000166666666666667</v>
      </c>
      <c r="AT55" t="str">
        <f t="shared" si="59"/>
        <v>2,24178790027076E-07i</v>
      </c>
      <c r="AU55">
        <f t="shared" si="84"/>
        <v>2.2417879002707601E-7</v>
      </c>
      <c r="AV55">
        <f t="shared" si="85"/>
        <v>1.5707963267948966</v>
      </c>
      <c r="AW55" t="str">
        <f t="shared" si="60"/>
        <v>1+0,000702589793668584i</v>
      </c>
      <c r="AX55">
        <f t="shared" si="86"/>
        <v>1.0000002468161786</v>
      </c>
      <c r="AY55">
        <f t="shared" si="87"/>
        <v>7.0258967806158528E-4</v>
      </c>
      <c r="AZ55" t="str">
        <f t="shared" si="61"/>
        <v>1+0,0486064393619812i</v>
      </c>
      <c r="BA55">
        <f t="shared" si="88"/>
        <v>1.0011805960701845</v>
      </c>
      <c r="BB55">
        <f t="shared" si="89"/>
        <v>4.8568214569452067E-2</v>
      </c>
      <c r="BC55" s="41" t="str">
        <f t="shared" si="90"/>
        <v>-3,56143013616092+74,3479238616038i</v>
      </c>
      <c r="BD55">
        <f t="shared" si="91"/>
        <v>37.435330911361497</v>
      </c>
      <c r="BE55" s="43">
        <f t="shared" si="92"/>
        <v>92.742498290033012</v>
      </c>
      <c r="BF55" s="41" t="str">
        <f t="shared" si="93"/>
        <v>1919,0832878248+1808,10992913377i</v>
      </c>
      <c r="BG55" s="20">
        <f t="shared" si="94"/>
        <v>68.421186454865875</v>
      </c>
      <c r="BH55" s="43">
        <f t="shared" si="95"/>
        <v>43.294580703767735</v>
      </c>
      <c r="BI55" s="41" t="str">
        <f t="shared" si="101"/>
        <v>6019,75292086203+5731,39975965474i</v>
      </c>
      <c r="BJ55" s="20">
        <f t="shared" si="97"/>
        <v>78.393923643313855</v>
      </c>
      <c r="BK55" s="43">
        <f t="shared" si="102"/>
        <v>43.594341781400352</v>
      </c>
      <c r="BL55">
        <f t="shared" si="99"/>
        <v>68.421186454865875</v>
      </c>
      <c r="BM55" s="43">
        <f t="shared" si="100"/>
        <v>43.294580703767735</v>
      </c>
    </row>
    <row r="56" spans="1:65" x14ac:dyDescent="0.25">
      <c r="A56" t="s">
        <v>189</v>
      </c>
      <c r="B56" s="3">
        <f>RFBT</f>
        <v>3740</v>
      </c>
      <c r="C56" s="2" t="s">
        <v>36</v>
      </c>
      <c r="E56" t="s">
        <v>192</v>
      </c>
      <c r="N56" s="9">
        <v>38</v>
      </c>
      <c r="O56" s="34">
        <f t="shared" si="62"/>
        <v>23.988329190194907</v>
      </c>
      <c r="P56" s="33" t="str">
        <f t="shared" si="50"/>
        <v>54,631621870174</v>
      </c>
      <c r="Q56" s="4" t="str">
        <f t="shared" si="63"/>
        <v>1+1,20145169296334i</v>
      </c>
      <c r="R56" s="4">
        <f t="shared" si="64"/>
        <v>1.5631654328715423</v>
      </c>
      <c r="S56" s="4">
        <f t="shared" si="65"/>
        <v>0.87665258219634623</v>
      </c>
      <c r="T56" s="4" t="str">
        <f t="shared" si="51"/>
        <v>1+0,0030144623502324i</v>
      </c>
      <c r="U56" s="4">
        <f t="shared" si="66"/>
        <v>1.000004543481309</v>
      </c>
      <c r="V56" s="4">
        <f t="shared" si="67"/>
        <v>3.0144532194925433E-3</v>
      </c>
      <c r="W56" t="str">
        <f t="shared" si="52"/>
        <v>1-0,000599778356048305i</v>
      </c>
      <c r="X56" s="4">
        <f t="shared" si="68"/>
        <v>1.0000001798670219</v>
      </c>
      <c r="Y56" s="4">
        <f t="shared" si="69"/>
        <v>-5.9977828412808285E-4</v>
      </c>
      <c r="Z56" t="str">
        <f t="shared" si="53"/>
        <v>0,99999999769824+0,0000824046950881286i</v>
      </c>
      <c r="AA56" s="4">
        <f t="shared" si="70"/>
        <v>1.0000000010935068</v>
      </c>
      <c r="AB56" s="4">
        <f t="shared" si="71"/>
        <v>8.2404695091280465E-5</v>
      </c>
      <c r="AC56" s="47" t="str">
        <f t="shared" si="72"/>
        <v>22,4207594585958-26,8100432170116i</v>
      </c>
      <c r="AD56" s="20">
        <f t="shared" si="73"/>
        <v>30.868824038582474</v>
      </c>
      <c r="AE56" s="43">
        <f t="shared" si="74"/>
        <v>-50.094863817644431</v>
      </c>
      <c r="AF56" t="str">
        <f t="shared" si="54"/>
        <v>171,265703090588</v>
      </c>
      <c r="AG56" t="str">
        <f t="shared" si="55"/>
        <v>1+1,18995377931266i</v>
      </c>
      <c r="AH56">
        <f t="shared" si="75"/>
        <v>1.554345520436329</v>
      </c>
      <c r="AI56">
        <f t="shared" si="76"/>
        <v>0.87192032701811839</v>
      </c>
      <c r="AJ56" t="str">
        <f t="shared" si="56"/>
        <v>1+0,0030144623502324i</v>
      </c>
      <c r="AK56">
        <f t="shared" si="77"/>
        <v>1.000004543481309</v>
      </c>
      <c r="AL56">
        <f t="shared" si="78"/>
        <v>3.0144532194925433E-3</v>
      </c>
      <c r="AM56" t="str">
        <f t="shared" si="57"/>
        <v>1-0,000189490702178204i</v>
      </c>
      <c r="AN56">
        <f t="shared" si="79"/>
        <v>1.000000017953363</v>
      </c>
      <c r="AO56">
        <f t="shared" si="80"/>
        <v>-1.8949069991020713E-4</v>
      </c>
      <c r="AP56" s="41" t="str">
        <f t="shared" si="81"/>
        <v>71,1267536193058-84,1537285240183i</v>
      </c>
      <c r="AQ56">
        <f t="shared" si="82"/>
        <v>40.842496337660144</v>
      </c>
      <c r="AR56" s="43">
        <f t="shared" si="83"/>
        <v>-49.795496380150006</v>
      </c>
      <c r="AS56" t="str">
        <f t="shared" si="58"/>
        <v>-0,0000166666666666667</v>
      </c>
      <c r="AT56" t="str">
        <f t="shared" si="59"/>
        <v>2,29400584852685E-07i</v>
      </c>
      <c r="AU56">
        <f t="shared" si="84"/>
        <v>2.2940058485268499E-7</v>
      </c>
      <c r="AV56">
        <f t="shared" si="85"/>
        <v>1.5707963267948966</v>
      </c>
      <c r="AW56" t="str">
        <f t="shared" si="60"/>
        <v>1+0,000718955212309041i</v>
      </c>
      <c r="AX56">
        <f t="shared" si="86"/>
        <v>1.0000002584482652</v>
      </c>
      <c r="AY56">
        <f t="shared" si="87"/>
        <v>7.1895508843391174E-4</v>
      </c>
      <c r="AZ56" t="str">
        <f t="shared" si="61"/>
        <v>1+0,0497386287788346i</v>
      </c>
      <c r="BA56">
        <f t="shared" si="88"/>
        <v>1.0012362014993259</v>
      </c>
      <c r="BB56">
        <f t="shared" si="89"/>
        <v>4.9697672906466379E-2</v>
      </c>
      <c r="BC56" s="41" t="str">
        <f t="shared" si="90"/>
        <v>-3,56143005330722+72,6556737401663i</v>
      </c>
      <c r="BD56">
        <f t="shared" si="91"/>
        <v>37.235813210016254</v>
      </c>
      <c r="BE56" s="43">
        <f t="shared" si="92"/>
        <v>92.806273816935473</v>
      </c>
      <c r="BF56" s="41" t="str">
        <f t="shared" si="93"/>
        <v>1868,05178638114+1724,47747787401i</v>
      </c>
      <c r="BG56" s="20">
        <f t="shared" si="94"/>
        <v>68.104637248598735</v>
      </c>
      <c r="BH56" s="43">
        <f t="shared" si="95"/>
        <v>42.711409999290943</v>
      </c>
      <c r="BI56" s="41" t="str">
        <f t="shared" si="101"/>
        <v>5860,93288572563+5467,46982302477i</v>
      </c>
      <c r="BJ56" s="20">
        <f t="shared" si="97"/>
        <v>78.078309547676412</v>
      </c>
      <c r="BK56" s="43">
        <f t="shared" si="102"/>
        <v>43.010777436785446</v>
      </c>
      <c r="BL56">
        <f t="shared" si="99"/>
        <v>68.104637248598735</v>
      </c>
      <c r="BM56" s="43">
        <f t="shared" si="100"/>
        <v>42.711409999290943</v>
      </c>
    </row>
    <row r="57" spans="1:65" x14ac:dyDescent="0.25">
      <c r="A57" t="s">
        <v>190</v>
      </c>
      <c r="B57" s="3">
        <f>RFBB</f>
        <v>30900</v>
      </c>
      <c r="C57" s="2" t="s">
        <v>36</v>
      </c>
      <c r="E57" t="s">
        <v>193</v>
      </c>
      <c r="N57" s="9">
        <v>39</v>
      </c>
      <c r="O57" s="34">
        <f t="shared" si="62"/>
        <v>24.547089156850316</v>
      </c>
      <c r="P57" s="33" t="str">
        <f t="shared" si="50"/>
        <v>54,631621870174</v>
      </c>
      <c r="Q57" s="4" t="str">
        <f t="shared" si="63"/>
        <v>1+1,22943709797323i</v>
      </c>
      <c r="R57" s="4">
        <f t="shared" si="64"/>
        <v>1.5847761917295571</v>
      </c>
      <c r="S57" s="4">
        <f t="shared" si="65"/>
        <v>0.88794970770002368</v>
      </c>
      <c r="T57" s="4" t="str">
        <f t="shared" si="51"/>
        <v>1+0,00308467819848698i</v>
      </c>
      <c r="U57" s="4">
        <f t="shared" si="66"/>
        <v>1.0000047576084767</v>
      </c>
      <c r="V57" s="4">
        <f t="shared" si="67"/>
        <v>3.0846684147254663E-3</v>
      </c>
      <c r="W57" t="str">
        <f t="shared" si="52"/>
        <v>1-0,0006137489886659i</v>
      </c>
      <c r="X57" s="4">
        <f t="shared" si="68"/>
        <v>1.0000001883438929</v>
      </c>
      <c r="Y57" s="4">
        <f t="shared" si="69"/>
        <v>-6.1374891160199431E-4</v>
      </c>
      <c r="Z57" t="str">
        <f t="shared" si="53"/>
        <v>0,999999997589762+0,0000843241470147141i</v>
      </c>
      <c r="AA57" s="4">
        <f t="shared" si="70"/>
        <v>1.0000000011450427</v>
      </c>
      <c r="AB57" s="4">
        <f t="shared" si="71"/>
        <v>8.4324147018091333E-5</v>
      </c>
      <c r="AC57" s="47" t="str">
        <f t="shared" si="72"/>
        <v>21,8163231609209-26,6914129394097i</v>
      </c>
      <c r="AD57" s="20">
        <f t="shared" si="73"/>
        <v>30.749566062954429</v>
      </c>
      <c r="AE57" s="43">
        <f t="shared" si="74"/>
        <v>-50.73902882977616</v>
      </c>
      <c r="AF57" t="str">
        <f t="shared" si="54"/>
        <v>171,265703090588</v>
      </c>
      <c r="AG57" t="str">
        <f t="shared" si="55"/>
        <v>1+1,21767136350864i</v>
      </c>
      <c r="AH57">
        <f t="shared" si="75"/>
        <v>1.5756660653542649</v>
      </c>
      <c r="AI57">
        <f t="shared" si="76"/>
        <v>0.88323788945203641</v>
      </c>
      <c r="AJ57" t="str">
        <f t="shared" si="56"/>
        <v>1+0,00308467819848698i</v>
      </c>
      <c r="AK57">
        <f t="shared" si="77"/>
        <v>1.0000047576084767</v>
      </c>
      <c r="AL57">
        <f t="shared" si="78"/>
        <v>3.0846684147254663E-3</v>
      </c>
      <c r="AM57" t="str">
        <f t="shared" si="57"/>
        <v>1-0,000193904507641315i</v>
      </c>
      <c r="AN57">
        <f t="shared" si="79"/>
        <v>1.0000000187994789</v>
      </c>
      <c r="AO57">
        <f t="shared" si="80"/>
        <v>-1.9390450521111256E-4</v>
      </c>
      <c r="AP57" s="41" t="str">
        <f t="shared" si="81"/>
        <v>69,2258559970731-83,7992520733702i</v>
      </c>
      <c r="AQ57">
        <f t="shared" si="82"/>
        <v>40.724165886083426</v>
      </c>
      <c r="AR57" s="43">
        <f t="shared" si="83"/>
        <v>-50.440174800060106</v>
      </c>
      <c r="AS57" t="str">
        <f t="shared" si="58"/>
        <v>-0,0000166666666666667</v>
      </c>
      <c r="AT57" t="str">
        <f t="shared" si="59"/>
        <v>2,3474401090486E-07i</v>
      </c>
      <c r="AU57">
        <f t="shared" si="84"/>
        <v>2.3474401090486E-7</v>
      </c>
      <c r="AV57">
        <f t="shared" si="85"/>
        <v>1.5707963267948966</v>
      </c>
      <c r="AW57" t="str">
        <f t="shared" si="60"/>
        <v>1+0,000735701830519562i</v>
      </c>
      <c r="AX57">
        <f t="shared" si="86"/>
        <v>1.0000002706285551</v>
      </c>
      <c r="AY57">
        <f t="shared" si="87"/>
        <v>7.3570169778497158E-4</v>
      </c>
      <c r="AZ57" t="str">
        <f t="shared" si="61"/>
        <v>1+0,0508971902750352i</v>
      </c>
      <c r="BA57">
        <f t="shared" si="88"/>
        <v>1.0012944242219135</v>
      </c>
      <c r="BB57">
        <f t="shared" si="89"/>
        <v>5.0853308330601324E-2</v>
      </c>
      <c r="BC57" s="41" t="str">
        <f t="shared" si="90"/>
        <v>-3,56142996654872+71,0019466186513i</v>
      </c>
      <c r="BD57">
        <f t="shared" si="91"/>
        <v>37.03631818128207</v>
      </c>
      <c r="BE57" s="43">
        <f t="shared" si="92"/>
        <v>92.871527339357229</v>
      </c>
      <c r="BF57" s="41" t="str">
        <f t="shared" si="93"/>
        <v>1817,44496963513+1644,06101037889i</v>
      </c>
      <c r="BG57" s="20">
        <f t="shared" si="94"/>
        <v>67.785884244236485</v>
      </c>
      <c r="BH57" s="43">
        <f t="shared" si="95"/>
        <v>42.132498509581076</v>
      </c>
      <c r="BI57" s="41" t="str">
        <f t="shared" si="101"/>
        <v>5703,36698438837+5213,6156996431i</v>
      </c>
      <c r="BJ57" s="20">
        <f t="shared" si="97"/>
        <v>77.760484067365496</v>
      </c>
      <c r="BK57" s="43">
        <f t="shared" si="102"/>
        <v>42.431352539297166</v>
      </c>
      <c r="BL57">
        <f t="shared" si="99"/>
        <v>67.785884244236485</v>
      </c>
      <c r="BM57" s="43">
        <f t="shared" si="100"/>
        <v>42.132498509581076</v>
      </c>
    </row>
    <row r="58" spans="1:65" x14ac:dyDescent="0.25">
      <c r="A58" t="s">
        <v>180</v>
      </c>
      <c r="B58" s="3">
        <f>RCOMP</f>
        <v>220000</v>
      </c>
      <c r="C58" s="2" t="s">
        <v>36</v>
      </c>
      <c r="E58" t="s">
        <v>186</v>
      </c>
      <c r="N58" s="9">
        <v>40</v>
      </c>
      <c r="O58" s="34">
        <f t="shared" si="62"/>
        <v>25.118864315095799</v>
      </c>
      <c r="P58" s="33" t="str">
        <f t="shared" si="50"/>
        <v>54,631621870174</v>
      </c>
      <c r="Q58" s="4" t="str">
        <f t="shared" si="63"/>
        <v>1+1,258074366806i</v>
      </c>
      <c r="R58" s="4">
        <f t="shared" si="64"/>
        <v>1.607093996135359</v>
      </c>
      <c r="S58" s="4">
        <f t="shared" si="65"/>
        <v>0.8991939845843242</v>
      </c>
      <c r="T58" s="4" t="str">
        <f t="shared" si="51"/>
        <v>1+0,00315652958395296i</v>
      </c>
      <c r="U58" s="4">
        <f t="shared" si="66"/>
        <v>1.0000049818270977</v>
      </c>
      <c r="V58" s="4">
        <f t="shared" si="67"/>
        <v>3.1565191004664411E-3</v>
      </c>
      <c r="W58" t="str">
        <f t="shared" si="52"/>
        <v>1-0,000628045039121218i</v>
      </c>
      <c r="X58" s="4">
        <f t="shared" si="68"/>
        <v>1.0000001972202661</v>
      </c>
      <c r="Y58" s="4">
        <f t="shared" si="69"/>
        <v>-6.2804495654575625E-4</v>
      </c>
      <c r="Z58" t="str">
        <f t="shared" si="53"/>
        <v>0,999999997476171+0,0000862883087202094i</v>
      </c>
      <c r="AA58" s="4">
        <f t="shared" si="70"/>
        <v>1.0000000011990069</v>
      </c>
      <c r="AB58" s="4">
        <f t="shared" si="71"/>
        <v>8.6288308723828184E-5</v>
      </c>
      <c r="AC58" s="47" t="str">
        <f t="shared" si="72"/>
        <v>21,2175285751176-26,5598076960393i</v>
      </c>
      <c r="AD58" s="20">
        <f t="shared" si="73"/>
        <v>30.62810127689297</v>
      </c>
      <c r="AE58" s="43">
        <f t="shared" si="74"/>
        <v>-51.380093339090052</v>
      </c>
      <c r="AF58" t="str">
        <f t="shared" si="54"/>
        <v>171,265703090588</v>
      </c>
      <c r="AG58" t="str">
        <f t="shared" si="55"/>
        <v>1+1,24603457317935i</v>
      </c>
      <c r="AH58">
        <f t="shared" si="75"/>
        <v>1.5976865016511359</v>
      </c>
      <c r="AI58">
        <f t="shared" si="76"/>
        <v>0.89450490299297336</v>
      </c>
      <c r="AJ58" t="str">
        <f t="shared" si="56"/>
        <v>1+0,00315652958395296i</v>
      </c>
      <c r="AK58">
        <f t="shared" si="77"/>
        <v>1.0000049818270977</v>
      </c>
      <c r="AL58">
        <f t="shared" si="78"/>
        <v>3.1565191004664411E-3</v>
      </c>
      <c r="AM58" t="str">
        <f t="shared" si="57"/>
        <v>1-0,000198421123841008i</v>
      </c>
      <c r="AN58">
        <f t="shared" si="79"/>
        <v>1.000000019685471</v>
      </c>
      <c r="AO58">
        <f t="shared" si="80"/>
        <v>-1.984211212369992E-4</v>
      </c>
      <c r="AP58" s="41" t="str">
        <f t="shared" si="81"/>
        <v>67,3419001198851-83,4037132477282i</v>
      </c>
      <c r="AQ58">
        <f t="shared" si="82"/>
        <v>40.603620158390811</v>
      </c>
      <c r="AR58" s="43">
        <f t="shared" si="83"/>
        <v>-51.081869165660486</v>
      </c>
      <c r="AS58" t="str">
        <f t="shared" si="58"/>
        <v>-0,0000166666666666667</v>
      </c>
      <c r="AT58" t="str">
        <f t="shared" si="59"/>
        <v>2,4021190133882E-07i</v>
      </c>
      <c r="AU58">
        <f t="shared" si="84"/>
        <v>2.4021190133881997E-7</v>
      </c>
      <c r="AV58">
        <f t="shared" si="85"/>
        <v>1.5707963267948966</v>
      </c>
      <c r="AW58" t="str">
        <f t="shared" si="60"/>
        <v>1+0,000752838527578794i</v>
      </c>
      <c r="AX58">
        <f t="shared" si="86"/>
        <v>1.0000002833828843</v>
      </c>
      <c r="AY58">
        <f t="shared" si="87"/>
        <v>7.5283838535112008E-4</v>
      </c>
      <c r="AZ58" t="str">
        <f t="shared" si="61"/>
        <v>1+0,0520827381352238i</v>
      </c>
      <c r="BA58">
        <f t="shared" si="88"/>
        <v>1.0013553872685073</v>
      </c>
      <c r="BB58">
        <f t="shared" si="89"/>
        <v>5.2035721221298542E-2</v>
      </c>
      <c r="BC58" s="41" t="str">
        <f t="shared" si="90"/>
        <v>-3,56142987570146+69,3858656690497i</v>
      </c>
      <c r="BD58">
        <f t="shared" si="91"/>
        <v>36.836846888160736</v>
      </c>
      <c r="BE58" s="43">
        <f t="shared" si="92"/>
        <v>92.938292747763668</v>
      </c>
      <c r="BF58" s="41" t="str">
        <f t="shared" si="93"/>
        <v>1767,3105088372+1566,78748016389i</v>
      </c>
      <c r="BG58" s="20">
        <f t="shared" si="94"/>
        <v>67.464948165053698</v>
      </c>
      <c r="BH58" s="43">
        <f t="shared" si="95"/>
        <v>41.558199408673602</v>
      </c>
      <c r="BI58" s="41" t="str">
        <f t="shared" si="101"/>
        <v>5547,20538873335+4969,61251172181i</v>
      </c>
      <c r="BJ58" s="20">
        <f t="shared" si="97"/>
        <v>77.440467046551561</v>
      </c>
      <c r="BK58" s="43">
        <f t="shared" si="102"/>
        <v>41.856423582103197</v>
      </c>
      <c r="BL58">
        <f t="shared" si="99"/>
        <v>67.464948165053698</v>
      </c>
      <c r="BM58" s="43">
        <f t="shared" si="100"/>
        <v>41.558199408673602</v>
      </c>
    </row>
    <row r="59" spans="1:65" x14ac:dyDescent="0.25">
      <c r="A59" t="s">
        <v>184</v>
      </c>
      <c r="B59" s="3">
        <f>CCOMP</f>
        <v>1.5000000000000002E-9</v>
      </c>
      <c r="C59" s="2" t="s">
        <v>162</v>
      </c>
      <c r="E59" t="s">
        <v>187</v>
      </c>
      <c r="N59" s="9">
        <v>41</v>
      </c>
      <c r="O59" s="34">
        <f t="shared" si="62"/>
        <v>25.703957827688647</v>
      </c>
      <c r="P59" s="33" t="str">
        <f t="shared" si="50"/>
        <v>54,631621870174</v>
      </c>
      <c r="Q59" s="4" t="str">
        <f t="shared" si="63"/>
        <v>1+1,28737868332062i</v>
      </c>
      <c r="R59" s="4">
        <f t="shared" si="64"/>
        <v>1.6301361520647082</v>
      </c>
      <c r="S59" s="4">
        <f t="shared" si="65"/>
        <v>0.91038000212111525</v>
      </c>
      <c r="T59" s="4" t="str">
        <f t="shared" si="51"/>
        <v>1+0,00323005460318594i</v>
      </c>
      <c r="U59" s="4">
        <f t="shared" si="66"/>
        <v>1.0000052166127633</v>
      </c>
      <c r="V59" s="4">
        <f t="shared" si="67"/>
        <v>3.2300433699309137E-3</v>
      </c>
      <c r="W59" t="str">
        <f t="shared" si="52"/>
        <v>1-0,000642674087369433i</v>
      </c>
      <c r="X59" s="4">
        <f t="shared" si="68"/>
        <v>1.00000020651497</v>
      </c>
      <c r="Y59" s="4">
        <f t="shared" si="69"/>
        <v>-6.4267399888823251E-4</v>
      </c>
      <c r="Z59" t="str">
        <f t="shared" si="53"/>
        <v>0,999999997357226+0,0000882982216291483i</v>
      </c>
      <c r="AA59" s="4">
        <f t="shared" si="70"/>
        <v>1.0000000012555139</v>
      </c>
      <c r="AB59" s="4">
        <f t="shared" si="71"/>
        <v>8.8298221633025952E-5</v>
      </c>
      <c r="AC59" s="47" t="str">
        <f t="shared" si="72"/>
        <v>20,6249226586221-26,4155568676582i</v>
      </c>
      <c r="AD59" s="20">
        <f t="shared" si="73"/>
        <v>30.504451388802025</v>
      </c>
      <c r="AE59" s="43">
        <f t="shared" si="74"/>
        <v>-52.017745645086762</v>
      </c>
      <c r="AF59" t="str">
        <f t="shared" si="54"/>
        <v>171,265703090588</v>
      </c>
      <c r="AG59" t="str">
        <f t="shared" si="55"/>
        <v>1+1,27505844687396i</v>
      </c>
      <c r="AH59">
        <f t="shared" si="75"/>
        <v>1.6204240318338392</v>
      </c>
      <c r="AI59">
        <f t="shared" si="76"/>
        <v>0.90571589986938705</v>
      </c>
      <c r="AJ59" t="str">
        <f t="shared" si="56"/>
        <v>1+0,00323005460318594i</v>
      </c>
      <c r="AK59">
        <f t="shared" si="77"/>
        <v>1.0000052166127633</v>
      </c>
      <c r="AL59">
        <f t="shared" si="78"/>
        <v>3.2300433699309137E-3</v>
      </c>
      <c r="AM59" t="str">
        <f t="shared" si="57"/>
        <v>1-0,000203042945546975i</v>
      </c>
      <c r="AN59">
        <f t="shared" si="79"/>
        <v>1.0000000206132187</v>
      </c>
      <c r="AO59">
        <f t="shared" si="80"/>
        <v>-2.030429427567293E-4</v>
      </c>
      <c r="AP59" s="41" t="str">
        <f t="shared" si="81"/>
        <v>65,4766299702714-82,9681068366263i</v>
      </c>
      <c r="AQ59">
        <f t="shared" si="82"/>
        <v>40.4808800176001</v>
      </c>
      <c r="AR59" s="43">
        <f t="shared" si="83"/>
        <v>-51.720264151347969</v>
      </c>
      <c r="AS59" t="str">
        <f t="shared" si="58"/>
        <v>-0,0000166666666666667</v>
      </c>
      <c r="AT59" t="str">
        <f t="shared" si="59"/>
        <v>2,4580715530245E-07i</v>
      </c>
      <c r="AU59">
        <f t="shared" si="84"/>
        <v>2.4580715530245001E-7</v>
      </c>
      <c r="AV59">
        <f t="shared" si="85"/>
        <v>1.5707963267948966</v>
      </c>
      <c r="AW59" t="str">
        <f t="shared" si="60"/>
        <v>1+0,000770374389590339i</v>
      </c>
      <c r="AX59">
        <f t="shared" si="86"/>
        <v>1.0000002967383061</v>
      </c>
      <c r="AY59">
        <f t="shared" si="87"/>
        <v>7.703742371906431E-4</v>
      </c>
      <c r="AZ59" t="str">
        <f t="shared" si="61"/>
        <v>1+0,053295900952568i</v>
      </c>
      <c r="BA59">
        <f t="shared" si="88"/>
        <v>1.0014192194372673</v>
      </c>
      <c r="BB59">
        <f t="shared" si="89"/>
        <v>5.3245525276963995E-2</v>
      </c>
      <c r="BC59" s="41" t="str">
        <f t="shared" si="90"/>
        <v>-3,56142978057269+67,8065740238498i</v>
      </c>
      <c r="BD59">
        <f t="shared" si="91"/>
        <v>36.637400443220727</v>
      </c>
      <c r="BE59" s="43">
        <f t="shared" si="92"/>
        <v>93.006604683890544</v>
      </c>
      <c r="BF59" s="41" t="str">
        <f t="shared" si="93"/>
        <v>1717,69419834965+1492,58249588693i</v>
      </c>
      <c r="BG59" s="20">
        <f t="shared" si="94"/>
        <v>67.141851832022738</v>
      </c>
      <c r="BH59" s="43">
        <f t="shared" si="95"/>
        <v>40.988859038803938</v>
      </c>
      <c r="BI59" s="41" t="str">
        <f t="shared" si="101"/>
        <v>5392,59265792872+4735,23104343713i</v>
      </c>
      <c r="BJ59" s="20">
        <f t="shared" si="97"/>
        <v>77.118280460820827</v>
      </c>
      <c r="BK59" s="43">
        <f t="shared" si="102"/>
        <v>41.286340532542589</v>
      </c>
      <c r="BL59">
        <f t="shared" si="99"/>
        <v>67.141851832022738</v>
      </c>
      <c r="BM59" s="43">
        <f t="shared" si="100"/>
        <v>40.988859038803938</v>
      </c>
    </row>
    <row r="60" spans="1:65" x14ac:dyDescent="0.25">
      <c r="A60" t="s">
        <v>185</v>
      </c>
      <c r="B60" s="3">
        <f>CHF</f>
        <v>2.1999999999999998E-11</v>
      </c>
      <c r="C60" s="2" t="s">
        <v>162</v>
      </c>
      <c r="E60" t="s">
        <v>188</v>
      </c>
      <c r="N60" s="9">
        <v>42</v>
      </c>
      <c r="O60" s="34">
        <f t="shared" si="62"/>
        <v>26.302679918953825</v>
      </c>
      <c r="P60" s="33" t="str">
        <f t="shared" si="50"/>
        <v>54,631621870174</v>
      </c>
      <c r="Q60" s="4" t="str">
        <f t="shared" si="63"/>
        <v>1+1,31736558505361i</v>
      </c>
      <c r="R60" s="4">
        <f t="shared" si="64"/>
        <v>1.6539202171458089</v>
      </c>
      <c r="S60" s="4">
        <f t="shared" si="65"/>
        <v>0.92150249447750665</v>
      </c>
      <c r="T60" s="4" t="str">
        <f t="shared" si="51"/>
        <v>1+0,00330529224012436i</v>
      </c>
      <c r="U60" s="4">
        <f t="shared" si="66"/>
        <v>1.0000054624634771</v>
      </c>
      <c r="V60" s="4">
        <f t="shared" si="67"/>
        <v>3.3052802034782896E-3</v>
      </c>
      <c r="W60" t="str">
        <f t="shared" si="52"/>
        <v>1-0,000657643889925569i</v>
      </c>
      <c r="X60" s="4">
        <f t="shared" si="68"/>
        <v>1.0000002162477195</v>
      </c>
      <c r="Y60" s="4">
        <f t="shared" si="69"/>
        <v>-6.5764379511625568E-4</v>
      </c>
      <c r="Z60" t="str">
        <f t="shared" si="53"/>
        <v>0,999999997232676+0,0000903549514239603i</v>
      </c>
      <c r="AA60" s="4">
        <f t="shared" si="70"/>
        <v>1.0000000013146844</v>
      </c>
      <c r="AB60" s="4">
        <f t="shared" si="71"/>
        <v>9.0354951428115257E-5</v>
      </c>
      <c r="AC60" s="47" t="str">
        <f t="shared" si="72"/>
        <v>20,0390281487166-26,2590169665644i</v>
      </c>
      <c r="AD60" s="20">
        <f t="shared" si="73"/>
        <v>30.378640069634319</v>
      </c>
      <c r="AE60" s="43">
        <f t="shared" si="74"/>
        <v>-52.651682309829205</v>
      </c>
      <c r="AF60" t="str">
        <f t="shared" si="54"/>
        <v>171,265703090588</v>
      </c>
      <c r="AG60" t="str">
        <f t="shared" si="55"/>
        <v>1+1,30475837343451i</v>
      </c>
      <c r="AH60">
        <f t="shared" si="75"/>
        <v>1.6438961077414438</v>
      </c>
      <c r="AI60">
        <f t="shared" si="76"/>
        <v>0.91686555234635314</v>
      </c>
      <c r="AJ60" t="str">
        <f t="shared" si="56"/>
        <v>1+0,00330529224012436i</v>
      </c>
      <c r="AK60">
        <f t="shared" si="77"/>
        <v>1.0000054624634771</v>
      </c>
      <c r="AL60">
        <f t="shared" si="78"/>
        <v>3.3052802034782896E-3</v>
      </c>
      <c r="AM60" t="str">
        <f t="shared" si="57"/>
        <v>1-0,000207772423310262i</v>
      </c>
      <c r="AN60">
        <f t="shared" si="79"/>
        <v>1.0000000215846896</v>
      </c>
      <c r="AO60">
        <f t="shared" si="80"/>
        <v>-2.0777242032045986E-4</v>
      </c>
      <c r="AP60" s="41" t="str">
        <f t="shared" si="81"/>
        <v>63,631715922292-82,4935152563529i</v>
      </c>
      <c r="AQ60">
        <f t="shared" si="82"/>
        <v>40.355968325817713</v>
      </c>
      <c r="AR60" s="43">
        <f t="shared" si="83"/>
        <v>-52.355052407393238</v>
      </c>
      <c r="AS60" t="str">
        <f t="shared" si="58"/>
        <v>-0,0000166666666666667</v>
      </c>
      <c r="AT60" t="str">
        <f t="shared" si="59"/>
        <v>2,51532739473464E-07i</v>
      </c>
      <c r="AU60">
        <f t="shared" si="84"/>
        <v>2.5153273947346401E-7</v>
      </c>
      <c r="AV60">
        <f t="shared" si="85"/>
        <v>1.5707963267948966</v>
      </c>
      <c r="AW60" t="str">
        <f t="shared" si="60"/>
        <v>1+0,000788318714300356i</v>
      </c>
      <c r="AX60">
        <f t="shared" si="86"/>
        <v>1.0000003107231494</v>
      </c>
      <c r="AY60">
        <f t="shared" si="87"/>
        <v>7.8831855100114248E-4</v>
      </c>
      <c r="AZ60" t="str">
        <f t="shared" si="61"/>
        <v>1+0,0545373219620519i</v>
      </c>
      <c r="BA60">
        <f t="shared" si="88"/>
        <v>1.0014860555628284</v>
      </c>
      <c r="BB60">
        <f t="shared" si="89"/>
        <v>5.448334777808353E-2</v>
      </c>
      <c r="BC60" s="41" t="str">
        <f t="shared" si="90"/>
        <v>-3,56142968096064+66,2632343217165i</v>
      </c>
      <c r="BD60">
        <f t="shared" si="91"/>
        <v>36.437980010882455</v>
      </c>
      <c r="BE60" s="43">
        <f t="shared" si="92"/>
        <v>93.076498555543424</v>
      </c>
      <c r="BF60" s="41" t="str">
        <f t="shared" si="93"/>
        <v>1668,63980468694+1421,37046021545i</v>
      </c>
      <c r="BG60" s="20">
        <f t="shared" si="94"/>
        <v>66.81662008051677</v>
      </c>
      <c r="BH60" s="43">
        <f t="shared" si="95"/>
        <v>40.42481624571419</v>
      </c>
      <c r="BI60" s="41" t="str">
        <f t="shared" si="101"/>
        <v>5239,6672497177+4510,23815617249i</v>
      </c>
      <c r="BJ60" s="20">
        <f t="shared" si="97"/>
        <v>76.793948336700169</v>
      </c>
      <c r="BK60" s="43">
        <f t="shared" si="102"/>
        <v>40.7214461481502</v>
      </c>
      <c r="BL60">
        <f t="shared" si="99"/>
        <v>66.81662008051677</v>
      </c>
      <c r="BM60" s="43">
        <f t="shared" si="100"/>
        <v>40.42481624571419</v>
      </c>
    </row>
    <row r="61" spans="1:65" x14ac:dyDescent="0.25">
      <c r="N61" s="9">
        <v>43</v>
      </c>
      <c r="O61" s="34">
        <f t="shared" si="62"/>
        <v>26.915348039269158</v>
      </c>
      <c r="P61" s="33" t="str">
        <f t="shared" si="50"/>
        <v>54,631621870174</v>
      </c>
      <c r="Q61" s="4" t="str">
        <f t="shared" si="63"/>
        <v>1+1,3480509714572i</v>
      </c>
      <c r="R61" s="4">
        <f t="shared" si="64"/>
        <v>1.6784640066580816</v>
      </c>
      <c r="S61" s="4">
        <f t="shared" si="65"/>
        <v>0.93255635173885676</v>
      </c>
      <c r="T61" s="4" t="str">
        <f t="shared" si="51"/>
        <v>1+0,00338228238675922i</v>
      </c>
      <c r="U61" s="4">
        <f t="shared" si="66"/>
        <v>1.0000057199007133</v>
      </c>
      <c r="V61" s="4">
        <f t="shared" si="67"/>
        <v>3.3822694892645696E-3</v>
      </c>
      <c r="W61" t="str">
        <f t="shared" si="52"/>
        <v>1-0,000672962383977092i</v>
      </c>
      <c r="X61" s="4">
        <f t="shared" si="68"/>
        <v>1.0000002264391594</v>
      </c>
      <c r="Y61" s="4">
        <f t="shared" si="69"/>
        <v>-6.729622823870837E-4</v>
      </c>
      <c r="Z61" t="str">
        <f t="shared" si="53"/>
        <v>0,999999997102256+0,0000924595886100067i</v>
      </c>
      <c r="AA61" s="4">
        <f t="shared" si="70"/>
        <v>1.0000000013766437</v>
      </c>
      <c r="AB61" s="4">
        <f t="shared" si="71"/>
        <v>9.2459588614458827E-5</v>
      </c>
      <c r="AC61" s="47" t="str">
        <f t="shared" si="72"/>
        <v>19,4603419546163-26,0905695604955i</v>
      </c>
      <c r="AD61" s="20">
        <f t="shared" si="73"/>
        <v>30.2506928610517</v>
      </c>
      <c r="AE61" s="43">
        <f t="shared" si="74"/>
        <v>-53.281608788598568</v>
      </c>
      <c r="AF61" t="str">
        <f t="shared" si="54"/>
        <v>171,265703090588</v>
      </c>
      <c r="AG61" t="str">
        <f t="shared" si="55"/>
        <v>1+1,33515010015517i</v>
      </c>
      <c r="AH61">
        <f t="shared" si="75"/>
        <v>1.6681204362828126</v>
      </c>
      <c r="AI61">
        <f t="shared" si="76"/>
        <v>0.92794868411051634</v>
      </c>
      <c r="AJ61" t="str">
        <f t="shared" si="56"/>
        <v>1+0,00338228238675922i</v>
      </c>
      <c r="AK61">
        <f t="shared" si="77"/>
        <v>1.0000057199007133</v>
      </c>
      <c r="AL61">
        <f t="shared" si="78"/>
        <v>3.3822694892645696E-3</v>
      </c>
      <c r="AM61" t="str">
        <f t="shared" si="57"/>
        <v>1-0,000212612064762582i</v>
      </c>
      <c r="AN61">
        <f t="shared" si="79"/>
        <v>1.0000000226019448</v>
      </c>
      <c r="AO61">
        <f t="shared" si="80"/>
        <v>-2.1261206155895129E-4</v>
      </c>
      <c r="AP61" s="41" t="str">
        <f t="shared" si="81"/>
        <v>61,80874944419-81,9811021946139i</v>
      </c>
      <c r="AQ61">
        <f t="shared" si="82"/>
        <v>40.228909854925405</v>
      </c>
      <c r="AR61" s="43">
        <f t="shared" si="83"/>
        <v>-52.985935211141182</v>
      </c>
      <c r="AS61" t="str">
        <f t="shared" si="58"/>
        <v>-0,0000166666666666667</v>
      </c>
      <c r="AT61" t="str">
        <f t="shared" si="59"/>
        <v>2,57391689632376E-07i</v>
      </c>
      <c r="AU61">
        <f t="shared" si="84"/>
        <v>2.5739168963237599E-7</v>
      </c>
      <c r="AV61">
        <f t="shared" si="85"/>
        <v>1.5707963267948966</v>
      </c>
      <c r="AW61" t="str">
        <f t="shared" si="60"/>
        <v>1+0,00080668101602733i</v>
      </c>
      <c r="AX61">
        <f t="shared" si="86"/>
        <v>1.0000003253670779</v>
      </c>
      <c r="AY61">
        <f t="shared" si="87"/>
        <v>8.0668084104907321E-4</v>
      </c>
      <c r="AZ61" t="str">
        <f t="shared" si="61"/>
        <v>1+0,0558076593815271i</v>
      </c>
      <c r="BA61">
        <f t="shared" si="88"/>
        <v>1.0015560367975647</v>
      </c>
      <c r="BB61">
        <f t="shared" si="89"/>
        <v>5.574982985315341E-2</v>
      </c>
      <c r="BC61" s="41" t="str">
        <f t="shared" si="90"/>
        <v>-3,56142957665404+64,755028263511i</v>
      </c>
      <c r="BD61">
        <f t="shared" si="91"/>
        <v>36.238586809806222</v>
      </c>
      <c r="BE61" s="43">
        <f t="shared" si="92"/>
        <v>93.148010551551948</v>
      </c>
      <c r="BF61" s="41" t="str">
        <f t="shared" si="93"/>
        <v>1620,18893189201+1353,07471939327i</v>
      </c>
      <c r="BG61" s="20">
        <f t="shared" si="94"/>
        <v>66.489279670857925</v>
      </c>
      <c r="BH61" s="43">
        <f t="shared" si="95"/>
        <v>39.866401762953544</v>
      </c>
      <c r="BI61" s="41" t="str">
        <f t="shared" si="101"/>
        <v>5088,56108131947+4294,39723927339i</v>
      </c>
      <c r="BJ61" s="20">
        <f t="shared" si="97"/>
        <v>76.467496664731627</v>
      </c>
      <c r="BK61" s="43">
        <f t="shared" si="102"/>
        <v>40.162075340410787</v>
      </c>
      <c r="BL61">
        <f t="shared" si="99"/>
        <v>66.489279670857925</v>
      </c>
      <c r="BM61" s="43">
        <f t="shared" si="100"/>
        <v>39.866401762953544</v>
      </c>
    </row>
    <row r="62" spans="1:65" x14ac:dyDescent="0.25">
      <c r="A62" t="s">
        <v>227</v>
      </c>
      <c r="B62" s="1">
        <f>(-gm_ea)/Kfb</f>
        <v>-1.6666666666666667E-5</v>
      </c>
      <c r="C62" t="s">
        <v>150</v>
      </c>
      <c r="N62" s="9">
        <v>44</v>
      </c>
      <c r="O62" s="34">
        <f t="shared" si="62"/>
        <v>27.542287033381665</v>
      </c>
      <c r="P62" s="33" t="str">
        <f t="shared" si="50"/>
        <v>54,631621870174</v>
      </c>
      <c r="Q62" s="4" t="str">
        <f t="shared" si="63"/>
        <v>1+1,37945111232942i</v>
      </c>
      <c r="R62" s="4">
        <f t="shared" si="64"/>
        <v>1.703785600158328</v>
      </c>
      <c r="S62" s="4">
        <f t="shared" si="65"/>
        <v>0.94353663003330945</v>
      </c>
      <c r="T62" s="4" t="str">
        <f t="shared" si="51"/>
        <v>1+0,00346106586428534i</v>
      </c>
      <c r="U62" s="4">
        <f t="shared" si="66"/>
        <v>1.0000059894705216</v>
      </c>
      <c r="V62" s="4">
        <f t="shared" si="67"/>
        <v>3.4610520443753034E-3</v>
      </c>
      <c r="W62" t="str">
        <f t="shared" si="52"/>
        <v>1-0,000688637691592309i</v>
      </c>
      <c r="X62" s="4">
        <f t="shared" si="68"/>
        <v>1.0000002371109069</v>
      </c>
      <c r="Y62" s="4">
        <f t="shared" si="69"/>
        <v>-6.8863758273665534E-4</v>
      </c>
      <c r="Z62" t="str">
        <f t="shared" si="53"/>
        <v>0,99999999696569+0,0000946132490937814i</v>
      </c>
      <c r="AA62" s="4">
        <f t="shared" si="70"/>
        <v>1.0000000014415233</v>
      </c>
      <c r="AB62" s="4">
        <f t="shared" si="71"/>
        <v>9.4613249098551909E-5</v>
      </c>
      <c r="AC62" s="47" t="str">
        <f t="shared" si="72"/>
        <v>18,889333752668-25,910619097136i</v>
      </c>
      <c r="AD62" s="20">
        <f t="shared" si="73"/>
        <v>30.120637078057769</v>
      </c>
      <c r="AE62" s="43">
        <f t="shared" si="74"/>
        <v>-53.907240009051556</v>
      </c>
      <c r="AF62" t="str">
        <f t="shared" si="54"/>
        <v>171,265703090588</v>
      </c>
      <c r="AG62" t="str">
        <f t="shared" si="55"/>
        <v>1+1,36624974113173i</v>
      </c>
      <c r="AH62">
        <f t="shared" si="75"/>
        <v>1.6931149858005861</v>
      </c>
      <c r="AI62">
        <f t="shared" si="76"/>
        <v>0.93896028077495675</v>
      </c>
      <c r="AJ62" t="str">
        <f t="shared" si="56"/>
        <v>1+0,00346106586428534i</v>
      </c>
      <c r="AK62">
        <f t="shared" si="77"/>
        <v>1.0000059894705216</v>
      </c>
      <c r="AL62">
        <f t="shared" si="78"/>
        <v>3.4610520443753034E-3</v>
      </c>
      <c r="AM62" t="str">
        <f t="shared" si="57"/>
        <v>1-0,000217564435945892i</v>
      </c>
      <c r="AN62">
        <f t="shared" si="79"/>
        <v>1.0000000236671416</v>
      </c>
      <c r="AO62">
        <f t="shared" si="80"/>
        <v>-2.1756443251313984E-4</v>
      </c>
      <c r="AP62" s="41" t="str">
        <f t="shared" si="81"/>
        <v>60,0092384280289-81,4321059152069i</v>
      </c>
      <c r="AQ62">
        <f t="shared" si="82"/>
        <v>40.099731191429981</v>
      </c>
      <c r="AR62" s="43">
        <f t="shared" si="83"/>
        <v>-53.612623067761135</v>
      </c>
      <c r="AS62" t="str">
        <f t="shared" si="58"/>
        <v>-0,0000166666666666667</v>
      </c>
      <c r="AT62" t="str">
        <f t="shared" si="59"/>
        <v>2,63387112272114E-07i</v>
      </c>
      <c r="AU62">
        <f t="shared" si="84"/>
        <v>2.6338711227211398E-7</v>
      </c>
      <c r="AV62">
        <f t="shared" si="85"/>
        <v>1.5707963267948966</v>
      </c>
      <c r="AW62" t="str">
        <f t="shared" si="60"/>
        <v>1+0,000825471030706687i</v>
      </c>
      <c r="AX62">
        <f t="shared" si="86"/>
        <v>1.0000003407011533</v>
      </c>
      <c r="AY62">
        <f t="shared" si="87"/>
        <v>8.2547084321411032E-4</v>
      </c>
      <c r="AZ62" t="str">
        <f t="shared" si="61"/>
        <v>1+0,0571075867607081i</v>
      </c>
      <c r="BA62">
        <f t="shared" si="88"/>
        <v>1.0016293109058021</v>
      </c>
      <c r="BB62">
        <f t="shared" si="89"/>
        <v>5.7045626747264183E-2</v>
      </c>
      <c r="BC62" s="41" t="str">
        <f t="shared" si="90"/>
        <v>-3,56142946743162+63,2811561784166i</v>
      </c>
      <c r="BD62">
        <f t="shared" si="91"/>
        <v>36.039222115387204</v>
      </c>
      <c r="BE62" s="43">
        <f t="shared" si="92"/>
        <v>93.221177656869557</v>
      </c>
      <c r="BF62" s="41" t="str">
        <f t="shared" si="93"/>
        <v>1572,38090391842+1287,61772168076i</v>
      </c>
      <c r="BG62" s="20">
        <f t="shared" si="94"/>
        <v>66.159859193444973</v>
      </c>
      <c r="BH62" s="43">
        <f t="shared" si="95"/>
        <v>39.313937647818165</v>
      </c>
      <c r="BI62" s="41" t="str">
        <f t="shared" si="101"/>
        <v>4939,39914230186+4087,46869071337i</v>
      </c>
      <c r="BJ62" s="20">
        <f t="shared" si="97"/>
        <v>76.138953306817186</v>
      </c>
      <c r="BK62" s="43">
        <f t="shared" si="102"/>
        <v>39.608554589108444</v>
      </c>
      <c r="BL62">
        <f t="shared" si="99"/>
        <v>66.159859193444973</v>
      </c>
      <c r="BM62" s="43">
        <f t="shared" si="100"/>
        <v>39.313937647818165</v>
      </c>
    </row>
    <row r="63" spans="1:65" x14ac:dyDescent="0.25">
      <c r="A63" t="s">
        <v>226</v>
      </c>
      <c r="B63" s="1">
        <f>1/(RCOMP*CCOMP)</f>
        <v>3030.30303030303</v>
      </c>
      <c r="E63" t="s">
        <v>240</v>
      </c>
      <c r="N63" s="9">
        <v>45</v>
      </c>
      <c r="O63" s="34">
        <f t="shared" si="62"/>
        <v>28.183829312644548</v>
      </c>
      <c r="P63" s="33" t="str">
        <f t="shared" si="50"/>
        <v>54,631621870174</v>
      </c>
      <c r="Q63" s="4" t="str">
        <f t="shared" si="63"/>
        <v>1+1,41158265644058i</v>
      </c>
      <c r="R63" s="4">
        <f t="shared" si="64"/>
        <v>1.729903348734791</v>
      </c>
      <c r="S63" s="4">
        <f t="shared" si="65"/>
        <v>0.95443856072052602</v>
      </c>
      <c r="T63" s="4" t="str">
        <f t="shared" si="51"/>
        <v>1+0,00354168444474532i</v>
      </c>
      <c r="U63" s="4">
        <f t="shared" si="66"/>
        <v>1.0000062717446856</v>
      </c>
      <c r="V63" s="4">
        <f t="shared" si="67"/>
        <v>3.5416696364499352E-3</v>
      </c>
      <c r="W63" t="str">
        <f t="shared" si="52"/>
        <v>1-0,000704678124026805i</v>
      </c>
      <c r="X63" s="4">
        <f t="shared" si="68"/>
        <v>1.0000002482855985</v>
      </c>
      <c r="Y63" s="4">
        <f t="shared" si="69"/>
        <v>-7.0467800738587211E-4</v>
      </c>
      <c r="Z63" t="str">
        <f t="shared" si="53"/>
        <v>0,999999996822687+0,00009681707477458i</v>
      </c>
      <c r="AA63" s="4">
        <f t="shared" si="70"/>
        <v>1.0000000015094599</v>
      </c>
      <c r="AB63" s="4">
        <f t="shared" si="71"/>
        <v>9.6817074779691721E-5</v>
      </c>
      <c r="AC63" s="47" t="str">
        <f t="shared" si="72"/>
        <v>18,3264447900451-25,7195906512513i</v>
      </c>
      <c r="AD63" s="20">
        <f t="shared" si="73"/>
        <v>29.988501706859903</v>
      </c>
      <c r="AE63" s="43">
        <f t="shared" si="74"/>
        <v>-54.528300896737107</v>
      </c>
      <c r="AF63" t="str">
        <f t="shared" si="54"/>
        <v>171,265703090588</v>
      </c>
      <c r="AG63" t="str">
        <f t="shared" si="55"/>
        <v>1+1,3980737858055i</v>
      </c>
      <c r="AH63">
        <f t="shared" si="75"/>
        <v>1.7188979930631494</v>
      </c>
      <c r="AI63">
        <f t="shared" si="76"/>
        <v>0.94989549946267049</v>
      </c>
      <c r="AJ63" t="str">
        <f t="shared" si="56"/>
        <v>1+0,00354168444474532i</v>
      </c>
      <c r="AK63">
        <f t="shared" si="77"/>
        <v>1.0000062717446856</v>
      </c>
      <c r="AL63">
        <f t="shared" si="78"/>
        <v>3.5416696364499352E-3</v>
      </c>
      <c r="AM63" t="str">
        <f t="shared" si="57"/>
        <v>1-0,000222632162672946i</v>
      </c>
      <c r="AN63">
        <f t="shared" si="79"/>
        <v>1.0000000247825396</v>
      </c>
      <c r="AO63">
        <f t="shared" si="80"/>
        <v>-2.226321589946858E-4</v>
      </c>
      <c r="AP63" s="41" t="str">
        <f t="shared" si="81"/>
        <v>58,234603166624-80,8478322913594i</v>
      </c>
      <c r="AQ63">
        <f t="shared" si="82"/>
        <v>39.96846063622452</v>
      </c>
      <c r="AR63" s="43">
        <f t="shared" si="83"/>
        <v>-54.234836258178433</v>
      </c>
      <c r="AS63" t="str">
        <f t="shared" si="58"/>
        <v>-0,0000166666666666667</v>
      </c>
      <c r="AT63" t="str">
        <f t="shared" si="59"/>
        <v>2,69522186245118E-07i</v>
      </c>
      <c r="AU63">
        <f t="shared" si="84"/>
        <v>2.6952218624511798E-7</v>
      </c>
      <c r="AV63">
        <f t="shared" si="85"/>
        <v>1.5707963267948966</v>
      </c>
      <c r="AW63" t="str">
        <f t="shared" si="60"/>
        <v>1+0,000844698721052924i</v>
      </c>
      <c r="AX63">
        <f t="shared" si="86"/>
        <v>1.000000356757901</v>
      </c>
      <c r="AY63">
        <f t="shared" si="87"/>
        <v>8.4469852015101239E-4</v>
      </c>
      <c r="AZ63" t="str">
        <f t="shared" si="61"/>
        <v>1+0,0584377933382978i</v>
      </c>
      <c r="BA63">
        <f t="shared" si="88"/>
        <v>1.0017060325715572</v>
      </c>
      <c r="BB63">
        <f t="shared" si="89"/>
        <v>5.8371408093154678E-2</v>
      </c>
      <c r="BC63" s="41" t="str">
        <f t="shared" si="90"/>
        <v>-3,56142935306172+61,8408365999448i</v>
      </c>
      <c r="BD63">
        <f t="shared" si="91"/>
        <v>35.83988726236263</v>
      </c>
      <c r="BE63" s="43">
        <f t="shared" si="92"/>
        <v>93.296037667807937</v>
      </c>
      <c r="BF63" s="41" t="str">
        <f t="shared" si="93"/>
        <v>1525,25266446897+1224,92118281319i</v>
      </c>
      <c r="BG63" s="20">
        <f t="shared" si="94"/>
        <v>65.828388969222559</v>
      </c>
      <c r="BH63" s="43">
        <f t="shared" si="95"/>
        <v>38.767736771070872</v>
      </c>
      <c r="BI63" s="41" t="str">
        <f t="shared" si="101"/>
        <v>4792,29916110818+3889,21042194368i</v>
      </c>
      <c r="BJ63" s="20">
        <f t="shared" si="97"/>
        <v>75.808347898587144</v>
      </c>
      <c r="BK63" s="43">
        <f t="shared" si="102"/>
        <v>39.061201409629511</v>
      </c>
      <c r="BL63">
        <f t="shared" si="99"/>
        <v>65.828388969222559</v>
      </c>
      <c r="BM63" s="43">
        <f t="shared" si="100"/>
        <v>38.767736771070872</v>
      </c>
    </row>
    <row r="64" spans="1:65" x14ac:dyDescent="0.25">
      <c r="A64" t="s">
        <v>231</v>
      </c>
      <c r="B64" s="1">
        <f>(CCOMP+CHF)</f>
        <v>1.5220000000000001E-9</v>
      </c>
      <c r="E64" t="s">
        <v>241</v>
      </c>
      <c r="N64" s="9">
        <v>46</v>
      </c>
      <c r="O64" s="34">
        <f t="shared" si="62"/>
        <v>28.840315031266066</v>
      </c>
      <c r="P64" s="33" t="str">
        <f t="shared" si="50"/>
        <v>54,631621870174</v>
      </c>
      <c r="Q64" s="4" t="str">
        <f t="shared" si="63"/>
        <v>1+1,4444626403607i</v>
      </c>
      <c r="R64" s="4">
        <f t="shared" si="64"/>
        <v>1.7568358828865618</v>
      </c>
      <c r="S64" s="4">
        <f t="shared" si="65"/>
        <v>0.96525755861658968</v>
      </c>
      <c r="T64" s="4" t="str">
        <f t="shared" si="51"/>
        <v>1+0,00362418087317764i</v>
      </c>
      <c r="U64" s="4">
        <f t="shared" si="66"/>
        <v>1.000006567321936</v>
      </c>
      <c r="V64" s="4">
        <f t="shared" si="67"/>
        <v>3.6241650058088854E-3</v>
      </c>
      <c r="W64" t="str">
        <f t="shared" si="52"/>
        <v>1-0,000721092186130178i</v>
      </c>
      <c r="X64" s="4">
        <f t="shared" si="68"/>
        <v>1.0000002599869366</v>
      </c>
      <c r="Y64" s="4">
        <f t="shared" si="69"/>
        <v>-7.2109206114716838E-4</v>
      </c>
      <c r="Z64" t="str">
        <f t="shared" si="53"/>
        <v>0,999999996672945+0,0000990722341499495i</v>
      </c>
      <c r="AA64" s="4">
        <f t="shared" si="70"/>
        <v>1.0000000015805988</v>
      </c>
      <c r="AB64" s="4">
        <f t="shared" si="71"/>
        <v>9.9072234155426781E-5</v>
      </c>
      <c r="AC64" s="47" t="str">
        <f t="shared" si="72"/>
        <v>17,7720868997281-25,5179276164854i</v>
      </c>
      <c r="AD64" s="20">
        <f t="shared" si="73"/>
        <v>29.854317298729928</v>
      </c>
      <c r="AE64" s="43">
        <f t="shared" si="74"/>
        <v>-55.144526845368624</v>
      </c>
      <c r="AF64" t="str">
        <f t="shared" si="54"/>
        <v>171,265703090588</v>
      </c>
      <c r="AG64" t="str">
        <f t="shared" si="55"/>
        <v>1+1,43063910770619i</v>
      </c>
      <c r="AH64">
        <f t="shared" si="75"/>
        <v>1.745487970883318</v>
      </c>
      <c r="AI64">
        <f t="shared" si="76"/>
        <v>0.96074967743677819</v>
      </c>
      <c r="AJ64" t="str">
        <f t="shared" si="56"/>
        <v>1+0,00362418087317764i</v>
      </c>
      <c r="AK64">
        <f t="shared" si="77"/>
        <v>1.000006567321936</v>
      </c>
      <c r="AL64">
        <f t="shared" si="78"/>
        <v>3.6241650058088854E-3</v>
      </c>
      <c r="AM64" t="str">
        <f t="shared" si="57"/>
        <v>1-0,000227817931919535i</v>
      </c>
      <c r="AN64">
        <f t="shared" si="79"/>
        <v>1.0000000259505046</v>
      </c>
      <c r="AO64">
        <f t="shared" si="80"/>
        <v>-2.278179279782082E-4</v>
      </c>
      <c r="AP64" s="41" t="str">
        <f t="shared" si="81"/>
        <v>56,4861729898764-80,2296476368888i</v>
      </c>
      <c r="AQ64">
        <f t="shared" si="82"/>
        <v>39.835128100026097</v>
      </c>
      <c r="AR64" s="43">
        <f t="shared" si="83"/>
        <v>-54.852305332361297</v>
      </c>
      <c r="AS64" t="str">
        <f t="shared" si="58"/>
        <v>-0,0000166666666666667</v>
      </c>
      <c r="AT64" t="str">
        <f t="shared" si="59"/>
        <v>2,75800164448818E-07i</v>
      </c>
      <c r="AU64">
        <f t="shared" si="84"/>
        <v>2.7580016444881802E-7</v>
      </c>
      <c r="AV64">
        <f t="shared" si="85"/>
        <v>1.5707963267948966</v>
      </c>
      <c r="AW64" t="str">
        <f t="shared" si="60"/>
        <v>1+0,000864374281841973i</v>
      </c>
      <c r="AX64">
        <f t="shared" si="86"/>
        <v>1.0000003735713798</v>
      </c>
      <c r="AY64">
        <f t="shared" si="87"/>
        <v>8.6437406657170063E-4</v>
      </c>
      <c r="AZ64" t="str">
        <f t="shared" si="61"/>
        <v>1+0,0597989844074311i</v>
      </c>
      <c r="BA64">
        <f t="shared" si="88"/>
        <v>1.0017863637204092</v>
      </c>
      <c r="BB64">
        <f t="shared" si="89"/>
        <v>5.9727858184530754E-2</v>
      </c>
      <c r="BC64" s="41" t="str">
        <f t="shared" si="90"/>
        <v>-3,56142923330172+60,4333058515895i</v>
      </c>
      <c r="BD64">
        <f t="shared" si="91"/>
        <v>35.640583647534967</v>
      </c>
      <c r="BE64" s="43">
        <f t="shared" si="92"/>
        <v>93.372629207394382</v>
      </c>
      <c r="BF64" s="41" t="str">
        <f t="shared" si="93"/>
        <v>1478,83869452431+1164,90625661892i</v>
      </c>
      <c r="BG64" s="20">
        <f t="shared" si="94"/>
        <v>65.494900946264863</v>
      </c>
      <c r="BH64" s="43">
        <f t="shared" si="95"/>
        <v>38.228102362025759</v>
      </c>
      <c r="BI64" s="41" t="str">
        <f t="shared" si="101"/>
        <v>4647,37132624187+3699,37838115451i</v>
      </c>
      <c r="BJ64" s="20">
        <f t="shared" si="97"/>
        <v>75.475711747561064</v>
      </c>
      <c r="BK64" s="43">
        <f t="shared" si="102"/>
        <v>38.520323875033142</v>
      </c>
      <c r="BL64">
        <f t="shared" si="99"/>
        <v>65.494900946264863</v>
      </c>
      <c r="BM64" s="43">
        <f t="shared" si="100"/>
        <v>38.228102362025759</v>
      </c>
    </row>
    <row r="65" spans="1:65" x14ac:dyDescent="0.25">
      <c r="A65" t="s">
        <v>232</v>
      </c>
      <c r="B65" s="1">
        <f>(CCOMP+CHF)/(RCOMP*CHF*CCOMP)</f>
        <v>209641.87327823692</v>
      </c>
      <c r="E65" t="s">
        <v>242</v>
      </c>
      <c r="N65" s="9">
        <v>47</v>
      </c>
      <c r="O65" s="34">
        <f t="shared" si="62"/>
        <v>29.512092266663863</v>
      </c>
      <c r="P65" s="33" t="str">
        <f t="shared" si="50"/>
        <v>54,631621870174</v>
      </c>
      <c r="Q65" s="4" t="str">
        <f t="shared" si="63"/>
        <v>1+1,47810849749246i</v>
      </c>
      <c r="R65" s="4">
        <f t="shared" si="64"/>
        <v>1.7846021210228957</v>
      </c>
      <c r="S65" s="4">
        <f t="shared" si="65"/>
        <v>0.97598922923628606</v>
      </c>
      <c r="T65" s="4" t="str">
        <f t="shared" si="51"/>
        <v>1+0,00370859889028062i</v>
      </c>
      <c r="U65" s="4">
        <f t="shared" si="66"/>
        <v>1.0000068768292192</v>
      </c>
      <c r="V65" s="4">
        <f t="shared" si="67"/>
        <v>3.7085818880949911E-3</v>
      </c>
      <c r="W65" t="str">
        <f t="shared" si="52"/>
        <v>1-0,00073788858085542i</v>
      </c>
      <c r="X65" s="4">
        <f t="shared" si="68"/>
        <v>1.0000002722397419</v>
      </c>
      <c r="Y65" s="4">
        <f t="shared" si="69"/>
        <v>-7.3788844693371434E-4</v>
      </c>
      <c r="Z65" t="str">
        <f t="shared" si="53"/>
        <v>0,999999996516146+0,000101379922935241i</v>
      </c>
      <c r="AA65" s="4">
        <f t="shared" si="70"/>
        <v>1.0000000016550903</v>
      </c>
      <c r="AB65" s="4">
        <f t="shared" si="71"/>
        <v>1.0137992294110999E-4</v>
      </c>
      <c r="AC65" s="47" t="str">
        <f t="shared" si="72"/>
        <v>17,2266417270588-25,3060893635691i</v>
      </c>
      <c r="AD65" s="20">
        <f t="shared" si="73"/>
        <v>29.71811586064165</v>
      </c>
      <c r="AE65" s="43">
        <f t="shared" si="74"/>
        <v>-55.755664130771443</v>
      </c>
      <c r="AF65" t="str">
        <f t="shared" si="54"/>
        <v>171,265703090588</v>
      </c>
      <c r="AG65" t="str">
        <f t="shared" si="55"/>
        <v>1+1,46396297339853i</v>
      </c>
      <c r="AH65">
        <f t="shared" si="75"/>
        <v>1.7729037163596517</v>
      </c>
      <c r="AI65">
        <f t="shared" si="76"/>
        <v>0.97151833975489132</v>
      </c>
      <c r="AJ65" t="str">
        <f t="shared" si="56"/>
        <v>1+0,00370859889028062i</v>
      </c>
      <c r="AK65">
        <f t="shared" si="77"/>
        <v>1.0000068768292192</v>
      </c>
      <c r="AL65">
        <f t="shared" si="78"/>
        <v>3.7085818880949911E-3</v>
      </c>
      <c r="AM65" t="str">
        <f t="shared" si="57"/>
        <v>1-0,000233124493249154i</v>
      </c>
      <c r="AN65">
        <f t="shared" si="79"/>
        <v>1.0000000271735143</v>
      </c>
      <c r="AO65">
        <f t="shared" si="80"/>
        <v>-2.3312448902594626E-4</v>
      </c>
      <c r="AP65" s="41" t="str">
        <f t="shared" si="81"/>
        <v>54,7651835646335-79,5789714038163i</v>
      </c>
      <c r="AQ65">
        <f t="shared" si="82"/>
        <v>39.699764995264132</v>
      </c>
      <c r="AR65" s="43">
        <f t="shared" si="83"/>
        <v>-55.464771546667905</v>
      </c>
      <c r="AS65" t="str">
        <f t="shared" si="58"/>
        <v>-0,0000166666666666667</v>
      </c>
      <c r="AT65" t="str">
        <f t="shared" si="59"/>
        <v>2,82224375550355E-07i</v>
      </c>
      <c r="AU65">
        <f t="shared" si="84"/>
        <v>2.8222437555035498E-7</v>
      </c>
      <c r="AV65">
        <f t="shared" si="85"/>
        <v>1.5707963267948966</v>
      </c>
      <c r="AW65" t="str">
        <f t="shared" si="60"/>
        <v>1+0,0008845081453166i</v>
      </c>
      <c r="AX65">
        <f t="shared" si="86"/>
        <v>1.000000391177253</v>
      </c>
      <c r="AY65">
        <f t="shared" si="87"/>
        <v>8.8450791465035207E-4</v>
      </c>
      <c r="AZ65" t="str">
        <f t="shared" si="61"/>
        <v>1+0,0611918816896302i</v>
      </c>
      <c r="BA65">
        <f t="shared" si="88"/>
        <v>1.0018704738561355</v>
      </c>
      <c r="BB65">
        <f t="shared" si="89"/>
        <v>6.1115676251421384E-2</v>
      </c>
      <c r="BC65" s="41" t="str">
        <f t="shared" si="90"/>
        <v>-3,56142910789762+59,0578176419161i</v>
      </c>
      <c r="BD65">
        <f t="shared" si="91"/>
        <v>35.441312732616652</v>
      </c>
      <c r="BE65" s="43">
        <f t="shared" si="92"/>
        <v>93.450991740838973</v>
      </c>
      <c r="BF65" s="41" t="str">
        <f t="shared" si="93"/>
        <v>1433,17094758563+1107,49370896573i</v>
      </c>
      <c r="BG65" s="20">
        <f t="shared" si="94"/>
        <v>65.159428593258312</v>
      </c>
      <c r="BH65" s="43">
        <f t="shared" si="95"/>
        <v>37.695327610067338</v>
      </c>
      <c r="BI65" s="41" t="str">
        <f t="shared" si="101"/>
        <v>4504,7180624514+3517,72708922029i</v>
      </c>
      <c r="BJ65" s="20">
        <f t="shared" si="97"/>
        <v>75.141077727880784</v>
      </c>
      <c r="BK65" s="43">
        <f t="shared" si="102"/>
        <v>37.986220194171054</v>
      </c>
      <c r="BL65">
        <f t="shared" si="99"/>
        <v>65.159428593258312</v>
      </c>
      <c r="BM65" s="43">
        <f t="shared" si="100"/>
        <v>37.695327610067338</v>
      </c>
    </row>
    <row r="66" spans="1:65" x14ac:dyDescent="0.25">
      <c r="N66" s="9">
        <v>48</v>
      </c>
      <c r="O66" s="34">
        <f t="shared" si="62"/>
        <v>30.199517204020164</v>
      </c>
      <c r="P66" s="33" t="str">
        <f t="shared" si="50"/>
        <v>54,631621870174</v>
      </c>
      <c r="Q66" s="4" t="str">
        <f t="shared" si="63"/>
        <v>1+1,51253806731467i</v>
      </c>
      <c r="R66" s="4">
        <f t="shared" si="64"/>
        <v>1.8132212785746802</v>
      </c>
      <c r="S66" s="4">
        <f t="shared" si="65"/>
        <v>0.98662937504313564</v>
      </c>
      <c r="T66" s="4" t="str">
        <f t="shared" si="51"/>
        <v>1+0,00379498325560434i</v>
      </c>
      <c r="U66" s="4">
        <f t="shared" si="66"/>
        <v>1.0000072009230285</v>
      </c>
      <c r="V66" s="4">
        <f t="shared" si="67"/>
        <v>3.7949650374412922E-3</v>
      </c>
      <c r="W66" t="str">
        <f t="shared" si="52"/>
        <v>1-0,000755076213873342i</v>
      </c>
      <c r="X66" s="4">
        <f t="shared" si="68"/>
        <v>1.0000002850700038</v>
      </c>
      <c r="Y66" s="4">
        <f t="shared" si="69"/>
        <v>-7.5507607037365128E-4</v>
      </c>
      <c r="Z66" t="str">
        <f t="shared" si="53"/>
        <v>0,999999996351957+0,000103741364697595i</v>
      </c>
      <c r="AA66" s="4">
        <f t="shared" si="70"/>
        <v>1.0000000017330923</v>
      </c>
      <c r="AB66" s="4">
        <f t="shared" si="71"/>
        <v>1.0374136470388373E-4</v>
      </c>
      <c r="AC66" s="47" t="str">
        <f t="shared" si="72"/>
        <v>16,6904601657493-25,0845488860812i</v>
      </c>
      <c r="AD66" s="20">
        <f t="shared" si="73"/>
        <v>29.579930743456231</v>
      </c>
      <c r="AE66" s="43">
        <f t="shared" si="74"/>
        <v>-56.361470267958687</v>
      </c>
      <c r="AF66" t="str">
        <f t="shared" si="54"/>
        <v>171,265703090588</v>
      </c>
      <c r="AG66" t="str">
        <f t="shared" si="55"/>
        <v>1+1,49806305163721i</v>
      </c>
      <c r="AH66">
        <f t="shared" si="75"/>
        <v>1.8011643197333747</v>
      </c>
      <c r="AI66">
        <f t="shared" si="76"/>
        <v>0.98219720593413018</v>
      </c>
      <c r="AJ66" t="str">
        <f t="shared" si="56"/>
        <v>1+0,00379498325560434i</v>
      </c>
      <c r="AK66">
        <f t="shared" si="77"/>
        <v>1.0000072009230285</v>
      </c>
      <c r="AL66">
        <f t="shared" si="78"/>
        <v>3.7949650374412922E-3</v>
      </c>
      <c r="AM66" t="str">
        <f t="shared" si="57"/>
        <v>1-0,000238554660270861i</v>
      </c>
      <c r="AN66">
        <f t="shared" si="79"/>
        <v>1.0000000284541626</v>
      </c>
      <c r="AO66">
        <f t="shared" si="80"/>
        <v>-2.3855465574561236E-4</v>
      </c>
      <c r="AP66" s="41" t="str">
        <f t="shared" si="81"/>
        <v>53,0727748545575-78,8972688136017i</v>
      </c>
      <c r="AQ66">
        <f t="shared" si="82"/>
        <v>39.562404125196721</v>
      </c>
      <c r="AR66" s="43">
        <f t="shared" si="83"/>
        <v>-56.07198724447975</v>
      </c>
      <c r="AS66" t="str">
        <f t="shared" si="58"/>
        <v>-0,0000166666666666667</v>
      </c>
      <c r="AT66" t="str">
        <f t="shared" si="59"/>
        <v>2,8879822575149E-07i</v>
      </c>
      <c r="AU66">
        <f t="shared" si="84"/>
        <v>2.8879822575149002E-7</v>
      </c>
      <c r="AV66">
        <f t="shared" si="85"/>
        <v>1.5707963267948966</v>
      </c>
      <c r="AW66" t="str">
        <f t="shared" si="60"/>
        <v>1+0,000905110986717723i</v>
      </c>
      <c r="AX66">
        <f t="shared" si="86"/>
        <v>1.0000004096128652</v>
      </c>
      <c r="AY66">
        <f t="shared" si="87"/>
        <v>9.051107395543908E-4</v>
      </c>
      <c r="AZ66" t="str">
        <f t="shared" si="61"/>
        <v>1+0,0626172237174716i</v>
      </c>
      <c r="BA66">
        <f t="shared" si="88"/>
        <v>1.0019585404127678</v>
      </c>
      <c r="BB66">
        <f t="shared" si="89"/>
        <v>6.2535576737323254E-2</v>
      </c>
      <c r="BC66" s="41" t="str">
        <f t="shared" si="90"/>
        <v>-3,56142897658344+57,713642668869i</v>
      </c>
      <c r="BD66">
        <f t="shared" si="91"/>
        <v>35.242076047201472</v>
      </c>
      <c r="BE66" s="43">
        <f t="shared" si="92"/>
        <v>93.531165591096681</v>
      </c>
      <c r="BF66" s="41" t="str">
        <f t="shared" si="93"/>
        <v>1388,27880245426+1052,60409325246i</v>
      </c>
      <c r="BG66" s="20">
        <f t="shared" si="94"/>
        <v>64.82200679065771</v>
      </c>
      <c r="BH66" s="43">
        <f t="shared" si="95"/>
        <v>37.16969532313788</v>
      </c>
      <c r="BI66" s="41" t="str">
        <f t="shared" si="101"/>
        <v>4364,4338616232+3344,01018272732i</v>
      </c>
      <c r="BJ66" s="20">
        <f t="shared" si="97"/>
        <v>74.8044801723982</v>
      </c>
      <c r="BK66" s="43">
        <f t="shared" si="102"/>
        <v>37.459178346616923</v>
      </c>
      <c r="BL66">
        <f t="shared" si="99"/>
        <v>64.82200679065771</v>
      </c>
      <c r="BM66" s="43">
        <f t="shared" si="100"/>
        <v>37.16969532313788</v>
      </c>
    </row>
    <row r="67" spans="1:65" x14ac:dyDescent="0.25">
      <c r="N67" s="9">
        <v>49</v>
      </c>
      <c r="O67" s="34">
        <f t="shared" si="62"/>
        <v>30.902954325135919</v>
      </c>
      <c r="P67" s="33" t="str">
        <f t="shared" si="50"/>
        <v>54,631621870174</v>
      </c>
      <c r="Q67" s="4" t="str">
        <f t="shared" si="63"/>
        <v>1+1,54776960484097i</v>
      </c>
      <c r="R67" s="4">
        <f t="shared" si="64"/>
        <v>1.8427128777076398</v>
      </c>
      <c r="S67" s="4">
        <f t="shared" si="65"/>
        <v>0.99717400070617512</v>
      </c>
      <c r="T67" s="4" t="str">
        <f t="shared" si="51"/>
        <v>1+0,00388337977128272i</v>
      </c>
      <c r="U67" s="4">
        <f t="shared" si="66"/>
        <v>1.000007540290796</v>
      </c>
      <c r="V67" s="4">
        <f t="shared" si="67"/>
        <v>3.8833602501772584E-3</v>
      </c>
      <c r="W67" t="str">
        <f t="shared" si="52"/>
        <v>1-0,000772664198294474i</v>
      </c>
      <c r="X67" s="4">
        <f t="shared" si="68"/>
        <v>1.000000298504937</v>
      </c>
      <c r="Y67" s="4">
        <f t="shared" si="69"/>
        <v>-7.7266404453178749E-4</v>
      </c>
      <c r="Z67" t="str">
        <f t="shared" si="53"/>
        <v>0,99999999618003+0,000106157811504691i</v>
      </c>
      <c r="AA67" s="4">
        <f t="shared" si="70"/>
        <v>1.0000000018147703</v>
      </c>
      <c r="AB67" s="4">
        <f t="shared" si="71"/>
        <v>1.061578115114295E-4</v>
      </c>
      <c r="AC67" s="47" t="str">
        <f t="shared" si="72"/>
        <v>16,1638619990041-24,853790454037i</v>
      </c>
      <c r="AD67" s="20">
        <f t="shared" si="73"/>
        <v>29.439796528417382</v>
      </c>
      <c r="AE67" s="43">
        <f t="shared" si="74"/>
        <v>-56.961714311270384</v>
      </c>
      <c r="AF67" t="str">
        <f t="shared" si="54"/>
        <v>171,265703090588</v>
      </c>
      <c r="AG67" t="str">
        <f t="shared" si="55"/>
        <v>1+1,53295742273508i</v>
      </c>
      <c r="AH67">
        <f t="shared" si="75"/>
        <v>1.8302891738516562</v>
      </c>
      <c r="AI67">
        <f t="shared" si="76"/>
        <v>0.99278219562227354</v>
      </c>
      <c r="AJ67" t="str">
        <f t="shared" si="56"/>
        <v>1+0,00388337977128272i</v>
      </c>
      <c r="AK67">
        <f t="shared" si="77"/>
        <v>1.000007540290796</v>
      </c>
      <c r="AL67">
        <f t="shared" si="78"/>
        <v>3.8833602501772584E-3</v>
      </c>
      <c r="AM67" t="str">
        <f t="shared" si="57"/>
        <v>1-0,000244111312131088i</v>
      </c>
      <c r="AN67">
        <f t="shared" si="79"/>
        <v>1.0000000297951659</v>
      </c>
      <c r="AO67">
        <f t="shared" si="80"/>
        <v>-2.4411130728219674E-4</v>
      </c>
      <c r="AP67" s="41" t="str">
        <f t="shared" si="81"/>
        <v>51,4099897292208-78,1860434867513i</v>
      </c>
      <c r="AQ67">
        <f t="shared" si="82"/>
        <v>39.423079571019841</v>
      </c>
      <c r="AR67" s="43">
        <f t="shared" si="83"/>
        <v>-56.673716179862232</v>
      </c>
      <c r="AS67" t="str">
        <f t="shared" si="58"/>
        <v>-0,0000166666666666667</v>
      </c>
      <c r="AT67" t="str">
        <f t="shared" si="59"/>
        <v>2,95525200594615E-07i</v>
      </c>
      <c r="AU67">
        <f t="shared" si="84"/>
        <v>2.9552520059461502E-7</v>
      </c>
      <c r="AV67">
        <f t="shared" si="85"/>
        <v>1.5707963267948966</v>
      </c>
      <c r="AW67" t="str">
        <f t="shared" si="60"/>
        <v>1+0,000926193729944564i</v>
      </c>
      <c r="AX67">
        <f t="shared" si="86"/>
        <v>1.0000004289173208</v>
      </c>
      <c r="AY67">
        <f t="shared" si="87"/>
        <v>9.2619346510428805E-4</v>
      </c>
      <c r="AZ67" t="str">
        <f t="shared" si="61"/>
        <v>1+0,0640757662261649i</v>
      </c>
      <c r="BA67">
        <f t="shared" si="88"/>
        <v>1.0020507491227528</v>
      </c>
      <c r="BB67">
        <f t="shared" si="89"/>
        <v>6.3988289577854018E-2</v>
      </c>
      <c r="BC67" s="41" t="str">
        <f t="shared" si="90"/>
        <v>-3,56142883908059+56,4000682330838i</v>
      </c>
      <c r="BD67">
        <f t="shared" si="91"/>
        <v>35.042875191867012</v>
      </c>
      <c r="BE67" s="43">
        <f t="shared" si="92"/>
        <v>93.613191954508906</v>
      </c>
      <c r="BF67" s="41" t="str">
        <f t="shared" si="93"/>
        <v>1344,18903318428+1000,15792573745i</v>
      </c>
      <c r="BG67" s="20">
        <f t="shared" si="94"/>
        <v>64.482671720284387</v>
      </c>
      <c r="BH67" s="43">
        <f t="shared" si="95"/>
        <v>36.651477643238415</v>
      </c>
      <c r="BI67" s="41" t="str">
        <f t="shared" si="101"/>
        <v>4226,60516748915+3177,98095867752i</v>
      </c>
      <c r="BJ67" s="20">
        <f t="shared" si="97"/>
        <v>74.465954762886867</v>
      </c>
      <c r="BK67" s="43">
        <f t="shared" si="102"/>
        <v>36.939475774646695</v>
      </c>
      <c r="BL67">
        <f t="shared" si="99"/>
        <v>64.482671720284387</v>
      </c>
      <c r="BM67" s="43">
        <f t="shared" si="100"/>
        <v>36.651477643238415</v>
      </c>
    </row>
    <row r="68" spans="1:65" x14ac:dyDescent="0.25">
      <c r="N68" s="9">
        <v>50</v>
      </c>
      <c r="O68" s="34">
        <f t="shared" si="62"/>
        <v>31.622776601683803</v>
      </c>
      <c r="P68" s="33" t="str">
        <f t="shared" si="50"/>
        <v>54,631621870174</v>
      </c>
      <c r="Q68" s="4" t="str">
        <f t="shared" si="63"/>
        <v>1+1,58382179029892i</v>
      </c>
      <c r="R68" s="4">
        <f t="shared" si="64"/>
        <v>1.8730967576251036</v>
      </c>
      <c r="S68" s="4">
        <f t="shared" si="65"/>
        <v>1.0076193173709271</v>
      </c>
      <c r="T68" s="4" t="str">
        <f t="shared" si="51"/>
        <v>1+0,00397383530631844i</v>
      </c>
      <c r="U68" s="4">
        <f t="shared" si="66"/>
        <v>1.0000078956523502</v>
      </c>
      <c r="V68" s="4">
        <f t="shared" si="67"/>
        <v>3.9738143890859978E-3</v>
      </c>
      <c r="W68" t="str">
        <f t="shared" si="52"/>
        <v>1-0,000790661859500961i</v>
      </c>
      <c r="X68" s="4">
        <f t="shared" si="68"/>
        <v>1.0000003125730392</v>
      </c>
      <c r="Y68" s="4">
        <f t="shared" si="69"/>
        <v>-7.9066169474127678E-4</v>
      </c>
      <c r="Z68" t="str">
        <f t="shared" si="53"/>
        <v>0,999999996+0,000108630544588612i</v>
      </c>
      <c r="AA68" s="4">
        <f t="shared" si="70"/>
        <v>1.0000000019002975</v>
      </c>
      <c r="AB68" s="4">
        <f t="shared" si="71"/>
        <v>1.0863054459583248E-4</v>
      </c>
      <c r="AC68" s="47" t="str">
        <f t="shared" si="72"/>
        <v>15,6471357393503-24,6143072944702i</v>
      </c>
      <c r="AD68" s="20">
        <f t="shared" si="73"/>
        <v>29.297748912697735</v>
      </c>
      <c r="AE68" s="43">
        <f t="shared" si="74"/>
        <v>-57.556177098006991</v>
      </c>
      <c r="AF68" t="str">
        <f t="shared" si="54"/>
        <v>171,265703090588</v>
      </c>
      <c r="AG68" t="str">
        <f t="shared" si="55"/>
        <v>1+1,56866458814957i</v>
      </c>
      <c r="AH68">
        <f t="shared" si="75"/>
        <v>1.8602979842257694</v>
      </c>
      <c r="AI68">
        <f t="shared" si="76"/>
        <v>1.0032694332790082</v>
      </c>
      <c r="AJ68" t="str">
        <f t="shared" si="56"/>
        <v>1+0,00397383530631844i</v>
      </c>
      <c r="AK68">
        <f t="shared" si="77"/>
        <v>1.0000078956523502</v>
      </c>
      <c r="AL68">
        <f t="shared" si="78"/>
        <v>3.9738143890859978E-3</v>
      </c>
      <c r="AM68" t="str">
        <f t="shared" si="57"/>
        <v>1-0,000249797395040202i</v>
      </c>
      <c r="AN68">
        <f t="shared" si="79"/>
        <v>1.0000000311993689</v>
      </c>
      <c r="AO68">
        <f t="shared" si="80"/>
        <v>-2.4979738984452142E-4</v>
      </c>
      <c r="AP68" s="41" t="str">
        <f t="shared" si="81"/>
        <v>49,7777732049918-77,4468301324001i</v>
      </c>
      <c r="AQ68">
        <f t="shared" si="82"/>
        <v>39.28182657772134</v>
      </c>
      <c r="AR68" s="43">
        <f t="shared" si="83"/>
        <v>-57.269733784477602</v>
      </c>
      <c r="AS68" t="str">
        <f t="shared" si="58"/>
        <v>-0,0000166666666666667</v>
      </c>
      <c r="AT68" t="str">
        <f t="shared" si="59"/>
        <v>3,02408866810833E-07i</v>
      </c>
      <c r="AU68">
        <f t="shared" si="84"/>
        <v>3.0240886681083302E-7</v>
      </c>
      <c r="AV68">
        <f t="shared" si="85"/>
        <v>1.5707963267948966</v>
      </c>
      <c r="AW68" t="str">
        <f t="shared" si="60"/>
        <v>1+0,000947767553346645i</v>
      </c>
      <c r="AX68">
        <f t="shared" si="86"/>
        <v>1.0000004491315668</v>
      </c>
      <c r="AY68">
        <f t="shared" si="87"/>
        <v>9.477672695651834E-4</v>
      </c>
      <c r="AZ68" t="str">
        <f t="shared" si="61"/>
        <v>1+0,0655682825542543i</v>
      </c>
      <c r="BA68">
        <f t="shared" si="88"/>
        <v>1.002147294401933</v>
      </c>
      <c r="BB68">
        <f t="shared" si="89"/>
        <v>6.5474560480613134E-2</v>
      </c>
      <c r="BC68" s="41" t="str">
        <f t="shared" si="90"/>
        <v>-3,56142869509747+55,1163978600071i</v>
      </c>
      <c r="BD68">
        <f t="shared" si="91"/>
        <v>34.84371184141493</v>
      </c>
      <c r="BE68" s="43">
        <f t="shared" si="92"/>
        <v>93.697112916506455</v>
      </c>
      <c r="BF68" s="41" t="str">
        <f t="shared" si="93"/>
        <v>1300,92579567229+950,075859088041i</v>
      </c>
      <c r="BG68" s="20">
        <f t="shared" si="94"/>
        <v>64.141460754112686</v>
      </c>
      <c r="BH68" s="43">
        <f t="shared" si="95"/>
        <v>36.140935818499422</v>
      </c>
      <c r="BI68" s="41" t="str">
        <f t="shared" si="101"/>
        <v>4091,31031270344+3019,3929157294i</v>
      </c>
      <c r="BJ68" s="20">
        <f t="shared" si="97"/>
        <v>74.125538419136277</v>
      </c>
      <c r="BK68" s="43">
        <f t="shared" si="102"/>
        <v>36.427379132028861</v>
      </c>
      <c r="BL68">
        <f t="shared" si="99"/>
        <v>64.141460754112686</v>
      </c>
      <c r="BM68" s="43">
        <f t="shared" si="100"/>
        <v>36.140935818499422</v>
      </c>
    </row>
    <row r="69" spans="1:65" x14ac:dyDescent="0.25">
      <c r="A69" s="49" t="s">
        <v>457</v>
      </c>
      <c r="N69" s="9">
        <v>51</v>
      </c>
      <c r="O69" s="34">
        <f t="shared" si="62"/>
        <v>32.359365692962832</v>
      </c>
      <c r="P69" s="33" t="str">
        <f t="shared" si="50"/>
        <v>54,631621870174</v>
      </c>
      <c r="Q69" s="4" t="str">
        <f t="shared" si="63"/>
        <v>1+1,62071373903444i</v>
      </c>
      <c r="R69" s="4">
        <f t="shared" si="64"/>
        <v>1.9043930854461204</v>
      </c>
      <c r="S69" s="4">
        <f t="shared" si="65"/>
        <v>1.0179617459597252</v>
      </c>
      <c r="T69" s="4" t="str">
        <f t="shared" si="51"/>
        <v>1+0,0040663978214335i</v>
      </c>
      <c r="U69" s="4">
        <f t="shared" si="66"/>
        <v>1.0000082677614432</v>
      </c>
      <c r="V69" s="4">
        <f t="shared" si="67"/>
        <v>4.0663754082251339E-3</v>
      </c>
      <c r="W69" t="str">
        <f t="shared" si="52"/>
        <v>1-0,000809078740091003i</v>
      </c>
      <c r="X69" s="4">
        <f t="shared" si="68"/>
        <v>1.0000003273041502</v>
      </c>
      <c r="Y69" s="4">
        <f t="shared" si="69"/>
        <v>-8.0907856354782372E-4</v>
      </c>
      <c r="Z69" t="str">
        <f t="shared" si="53"/>
        <v>0,999999995811486+0,000111160875025168i</v>
      </c>
      <c r="AA69" s="4">
        <f t="shared" si="70"/>
        <v>1.0000000019898561</v>
      </c>
      <c r="AB69" s="4">
        <f t="shared" si="71"/>
        <v>1.1116087503290487E-4</v>
      </c>
      <c r="AC69" s="47" t="str">
        <f t="shared" si="72"/>
        <v>15,1405386589327-24,3665993168524i</v>
      </c>
      <c r="AD69" s="20">
        <f t="shared" si="73"/>
        <v>29.153824594710333</v>
      </c>
      <c r="AE69" s="43">
        <f t="shared" si="74"/>
        <v>-58.14465143642574</v>
      </c>
      <c r="AF69" t="str">
        <f t="shared" si="54"/>
        <v>171,265703090588</v>
      </c>
      <c r="AG69" t="str">
        <f t="shared" si="55"/>
        <v>1+1,60520348029243i</v>
      </c>
      <c r="AH69">
        <f t="shared" si="75"/>
        <v>1.8912107796707722</v>
      </c>
      <c r="AI69">
        <f t="shared" si="76"/>
        <v>1.0136552518793016</v>
      </c>
      <c r="AJ69" t="str">
        <f t="shared" si="56"/>
        <v>1+0,0040663978214335i</v>
      </c>
      <c r="AK69">
        <f t="shared" si="77"/>
        <v>1.0000082677614432</v>
      </c>
      <c r="AL69">
        <f t="shared" si="78"/>
        <v>4.0663754082251339E-3</v>
      </c>
      <c r="AM69" t="str">
        <f t="shared" si="57"/>
        <v>1-0,000255615923834626i</v>
      </c>
      <c r="AN69">
        <f t="shared" si="79"/>
        <v>1.0000000326697498</v>
      </c>
      <c r="AO69">
        <f t="shared" si="80"/>
        <v>-2.5561591826735392E-4</v>
      </c>
      <c r="AP69" s="41" t="str">
        <f t="shared" si="81"/>
        <v>48,1769722941974-76,6811873555805i</v>
      </c>
      <c r="AQ69">
        <f t="shared" si="82"/>
        <v>39.138681439405353</v>
      </c>
      <c r="AR69" s="43">
        <f t="shared" si="83"/>
        <v>-57.859827378440393</v>
      </c>
      <c r="AS69" t="str">
        <f t="shared" si="58"/>
        <v>-0,0000166666666666667</v>
      </c>
      <c r="AT69" t="str">
        <f t="shared" si="59"/>
        <v>3,0945287421109E-07i</v>
      </c>
      <c r="AU69">
        <f t="shared" si="84"/>
        <v>3.0945287421108999E-7</v>
      </c>
      <c r="AV69">
        <f t="shared" si="85"/>
        <v>1.5707963267948966</v>
      </c>
      <c r="AW69" t="str">
        <f t="shared" si="60"/>
        <v>1+0,000969843895650696i</v>
      </c>
      <c r="AX69">
        <f t="shared" si="86"/>
        <v>1.0000004702984804</v>
      </c>
      <c r="AY69">
        <f t="shared" si="87"/>
        <v>9.6984359157338931E-4</v>
      </c>
      <c r="AZ69" t="str">
        <f t="shared" si="61"/>
        <v>1+0,0670955640536527i</v>
      </c>
      <c r="BA69">
        <f t="shared" si="88"/>
        <v>1.0022483797520843</v>
      </c>
      <c r="BB69">
        <f t="shared" si="89"/>
        <v>6.6995151205913525E-2</v>
      </c>
      <c r="BC69" s="41" t="str">
        <f t="shared" si="90"/>
        <v>-3,56142854432862+53,8619509306144i</v>
      </c>
      <c r="BD69">
        <f t="shared" si="91"/>
        <v>34.64458774825308</v>
      </c>
      <c r="BE69" s="43">
        <f t="shared" si="92"/>
        <v>93.78297146735467</v>
      </c>
      <c r="BF69" s="41" t="str">
        <f t="shared" si="93"/>
        <v>1258,51063019381+902,27885264576i</v>
      </c>
      <c r="BG69" s="20">
        <f t="shared" si="94"/>
        <v>63.798412342963402</v>
      </c>
      <c r="BH69" s="43">
        <f t="shared" si="95"/>
        <v>35.638320030928995</v>
      </c>
      <c r="BI69" s="41" t="str">
        <f t="shared" si="101"/>
        <v>3958,61950633964+2868,0002871568i</v>
      </c>
      <c r="BJ69" s="20">
        <f t="shared" si="97"/>
        <v>73.783269187658419</v>
      </c>
      <c r="BK69" s="43">
        <f t="shared" si="102"/>
        <v>35.923144088914256</v>
      </c>
      <c r="BL69">
        <f t="shared" si="99"/>
        <v>63.798412342963402</v>
      </c>
      <c r="BM69" s="43">
        <f t="shared" si="100"/>
        <v>35.638320030928995</v>
      </c>
    </row>
    <row r="70" spans="1:65" x14ac:dyDescent="0.25">
      <c r="A70" t="s">
        <v>480</v>
      </c>
      <c r="B70">
        <f>SQRT((2*IOUT*Lm*Fsw*(VOUT-VIN_var)/(VIN_var^2)))</f>
        <v>2.5144212156253327</v>
      </c>
      <c r="E70" s="31"/>
      <c r="N70" s="9">
        <v>52</v>
      </c>
      <c r="O70" s="34">
        <f t="shared" si="62"/>
        <v>33.113112148259127</v>
      </c>
      <c r="P70" s="33" t="str">
        <f t="shared" si="50"/>
        <v>54,631621870174</v>
      </c>
      <c r="Q70" s="4" t="str">
        <f t="shared" si="63"/>
        <v>1+1,65846501164709i</v>
      </c>
      <c r="R70" s="4">
        <f t="shared" si="64"/>
        <v>1.9366223676436207</v>
      </c>
      <c r="S70" s="4">
        <f t="shared" si="65"/>
        <v>1.0281979195239066</v>
      </c>
      <c r="T70" s="4" t="str">
        <f t="shared" si="51"/>
        <v>1+0,00416111639449864i</v>
      </c>
      <c r="U70" s="4">
        <f t="shared" si="66"/>
        <v>1.000008657407349</v>
      </c>
      <c r="V70" s="4">
        <f t="shared" si="67"/>
        <v>4.1610923783244134E-3</v>
      </c>
      <c r="W70" t="str">
        <f t="shared" si="52"/>
        <v>1-0,000827924604938468i</v>
      </c>
      <c r="X70" s="4">
        <f t="shared" si="68"/>
        <v>1.000000342729517</v>
      </c>
      <c r="Y70" s="4">
        <f t="shared" si="69"/>
        <v>-8.2792441576904675E-4</v>
      </c>
      <c r="Z70" t="str">
        <f t="shared" si="53"/>
        <v>0,999999995614087+0,000113750144429052i</v>
      </c>
      <c r="AA70" s="4">
        <f t="shared" si="70"/>
        <v>1.0000000020836348</v>
      </c>
      <c r="AB70" s="4">
        <f t="shared" si="71"/>
        <v>1.1375014443734224E-4</v>
      </c>
      <c r="AC70" s="47" t="str">
        <f t="shared" si="72"/>
        <v>14,6442970004152-24,1111708997078i</v>
      </c>
      <c r="AD70" s="20">
        <f t="shared" si="73"/>
        <v>29.008061159865971</v>
      </c>
      <c r="AE70" s="43">
        <f t="shared" si="74"/>
        <v>-58.726942239384364</v>
      </c>
      <c r="AF70" t="str">
        <f t="shared" si="54"/>
        <v>171,265703090588</v>
      </c>
      <c r="AG70" t="str">
        <f t="shared" si="55"/>
        <v>1+1,64259347256793i</v>
      </c>
      <c r="AH70">
        <f t="shared" si="75"/>
        <v>1.9230479235117286</v>
      </c>
      <c r="AI70">
        <f t="shared" si="76"/>
        <v>1.0239361956583792</v>
      </c>
      <c r="AJ70" t="str">
        <f t="shared" si="56"/>
        <v>1+0,00416111639449864i</v>
      </c>
      <c r="AK70">
        <f t="shared" si="77"/>
        <v>1.000008657407349</v>
      </c>
      <c r="AL70">
        <f t="shared" si="78"/>
        <v>4.1610923783244134E-3</v>
      </c>
      <c r="AM70" t="str">
        <f t="shared" si="57"/>
        <v>1-0,000261569983575344i</v>
      </c>
      <c r="AN70">
        <f t="shared" si="79"/>
        <v>1.0000000342094275</v>
      </c>
      <c r="AO70">
        <f t="shared" si="80"/>
        <v>-2.6156997760990456E-4</v>
      </c>
      <c r="AP70" s="41" t="str">
        <f t="shared" si="81"/>
        <v>46,6083364336975-75,8906906354404i</v>
      </c>
      <c r="AQ70">
        <f t="shared" si="82"/>
        <v>38.993681384782853</v>
      </c>
      <c r="AR70" s="43">
        <f t="shared" si="83"/>
        <v>-58.443796326229148</v>
      </c>
      <c r="AS70" t="str">
        <f t="shared" si="58"/>
        <v>-0,0000166666666666667</v>
      </c>
      <c r="AT70" t="str">
        <f t="shared" si="59"/>
        <v>3,16660957621346E-07i</v>
      </c>
      <c r="AU70">
        <f t="shared" si="84"/>
        <v>3.16660957621346E-7</v>
      </c>
      <c r="AV70">
        <f t="shared" si="85"/>
        <v>1.5707963267948966</v>
      </c>
      <c r="AW70" t="str">
        <f t="shared" si="60"/>
        <v>1+0,000992434462025628i</v>
      </c>
      <c r="AX70">
        <f t="shared" si="86"/>
        <v>1.0000004924629595</v>
      </c>
      <c r="AY70">
        <f t="shared" si="87"/>
        <v>9.924341362009322E-4</v>
      </c>
      <c r="AZ70" t="str">
        <f t="shared" si="61"/>
        <v>1+0,0686584205092276i</v>
      </c>
      <c r="BA70">
        <f t="shared" si="88"/>
        <v>1.0023542181817873</v>
      </c>
      <c r="BB70">
        <f t="shared" si="89"/>
        <v>6.8550839848019782E-2</v>
      </c>
      <c r="BC70" s="41" t="str">
        <f t="shared" si="90"/>
        <v>-3,56142838645431+52,6360623205388i</v>
      </c>
      <c r="BD70">
        <f t="shared" si="91"/>
        <v>34.445504745926847</v>
      </c>
      <c r="BE70" s="43">
        <f t="shared" si="92"/>
        <v>93.870811517919748</v>
      </c>
      <c r="BF70" s="41" t="str">
        <f t="shared" si="93"/>
        <v>1216,96247906123+856,688338027204i</v>
      </c>
      <c r="BG70" s="20">
        <f t="shared" si="94"/>
        <v>63.453565905792793</v>
      </c>
      <c r="BH70" s="43">
        <f t="shared" si="95"/>
        <v>35.14386927853549</v>
      </c>
      <c r="BI70" s="41" t="str">
        <f t="shared" si="101"/>
        <v>3828,59486941539+2723,55856107742i</v>
      </c>
      <c r="BJ70" s="20">
        <f t="shared" si="97"/>
        <v>73.4391861307097</v>
      </c>
      <c r="BK70" s="43">
        <f t="shared" si="102"/>
        <v>35.427015191690579</v>
      </c>
      <c r="BL70">
        <f t="shared" si="99"/>
        <v>63.453565905792793</v>
      </c>
      <c r="BM70" s="43">
        <f t="shared" si="100"/>
        <v>35.14386927853549</v>
      </c>
    </row>
    <row r="71" spans="1:65" x14ac:dyDescent="0.25">
      <c r="A71" t="s">
        <v>459</v>
      </c>
      <c r="B71">
        <f>(Fsw*Gcomp)/((R_cs*Acs*(VIN_var/Lm))+((R_sl+Rsl_int)*Isl))</f>
        <v>9.0909016528986495</v>
      </c>
      <c r="C71" t="s">
        <v>150</v>
      </c>
      <c r="E71" s="158"/>
      <c r="N71" s="9">
        <v>53</v>
      </c>
      <c r="O71" s="34">
        <f t="shared" si="62"/>
        <v>33.884415613920268</v>
      </c>
      <c r="P71" s="33" t="str">
        <f t="shared" si="50"/>
        <v>54,631621870174</v>
      </c>
      <c r="Q71" s="4" t="str">
        <f t="shared" si="63"/>
        <v>1+1,69709562436128i</v>
      </c>
      <c r="R71" s="4">
        <f t="shared" si="64"/>
        <v>1.9698054620256802</v>
      </c>
      <c r="S71" s="4">
        <f t="shared" si="65"/>
        <v>1.0383246846768053</v>
      </c>
      <c r="T71" s="4" t="str">
        <f t="shared" si="51"/>
        <v>1+0,004258041246555i</v>
      </c>
      <c r="U71" s="4">
        <f t="shared" si="66"/>
        <v>1.0000090654165379</v>
      </c>
      <c r="V71" s="4">
        <f t="shared" si="67"/>
        <v>4.2580155127732782E-3</v>
      </c>
      <c r="W71" t="str">
        <f t="shared" si="52"/>
        <v>1-0,000847209446370343i</v>
      </c>
      <c r="X71" s="4">
        <f t="shared" si="68"/>
        <v>1.0000003588818585</v>
      </c>
      <c r="Y71" s="4">
        <f t="shared" si="69"/>
        <v>-8.4720924367166002E-4</v>
      </c>
      <c r="Z71" t="str">
        <f t="shared" si="53"/>
        <v>0,999999995407385+0,000116399725665172i</v>
      </c>
      <c r="AA71" s="4">
        <f t="shared" si="70"/>
        <v>1.0000000021818332</v>
      </c>
      <c r="AB71" s="4">
        <f t="shared" si="71"/>
        <v>1.163997256740552E-4</v>
      </c>
      <c r="AC71" s="47" t="str">
        <f t="shared" si="72"/>
        <v>14,1586063572586-23,8485287531666i</v>
      </c>
      <c r="AD71" s="20">
        <f t="shared" si="73"/>
        <v>28.860496967419962</v>
      </c>
      <c r="AE71" s="43">
        <f t="shared" si="74"/>
        <v>-59.302866605294298</v>
      </c>
      <c r="AF71" t="str">
        <f t="shared" si="54"/>
        <v>171,265703090588</v>
      </c>
      <c r="AG71" t="str">
        <f t="shared" si="55"/>
        <v>1+1,68085438964486i</v>
      </c>
      <c r="AH71">
        <f t="shared" si="75"/>
        <v>1.9558301253402337</v>
      </c>
      <c r="AI71">
        <f t="shared" si="76"/>
        <v>1.0341090219246705</v>
      </c>
      <c r="AJ71" t="str">
        <f t="shared" si="56"/>
        <v>1+0,004258041246555i</v>
      </c>
      <c r="AK71">
        <f t="shared" si="77"/>
        <v>1.0000090654165379</v>
      </c>
      <c r="AL71">
        <f t="shared" si="78"/>
        <v>4.2580155127732782E-3</v>
      </c>
      <c r="AM71" t="str">
        <f t="shared" si="57"/>
        <v>1-0,000267662731183641i</v>
      </c>
      <c r="AN71">
        <f t="shared" si="79"/>
        <v>1.0000000358216683</v>
      </c>
      <c r="AO71">
        <f t="shared" si="80"/>
        <v>-2.6766272479155745E-4</v>
      </c>
      <c r="AP71" s="41" t="str">
        <f t="shared" si="81"/>
        <v>45,0725184593787-75,076925522763i</v>
      </c>
      <c r="AQ71">
        <f t="shared" si="82"/>
        <v>38.846864463487627</v>
      </c>
      <c r="AR71" s="43">
        <f t="shared" si="83"/>
        <v>-59.021452139165525</v>
      </c>
      <c r="AS71" t="str">
        <f t="shared" si="58"/>
        <v>-0,0000166666666666667</v>
      </c>
      <c r="AT71" t="str">
        <f t="shared" si="59"/>
        <v>3,24036938862836E-07i</v>
      </c>
      <c r="AU71">
        <f t="shared" si="84"/>
        <v>3.2403693886283598E-7</v>
      </c>
      <c r="AV71">
        <f t="shared" si="85"/>
        <v>1.5707963267948966</v>
      </c>
      <c r="AW71" t="str">
        <f t="shared" si="60"/>
        <v>1+0,00101555123028874i</v>
      </c>
      <c r="AX71">
        <f t="shared" si="86"/>
        <v>1.0000005156720178</v>
      </c>
      <c r="AY71">
        <f t="shared" si="87"/>
        <v>1.0155508811612981E-3</v>
      </c>
      <c r="AZ71" t="str">
        <f t="shared" si="61"/>
        <v>1+0,0702576805681575i</v>
      </c>
      <c r="BA71">
        <f t="shared" si="88"/>
        <v>1.0024650326464346</v>
      </c>
      <c r="BB71">
        <f t="shared" si="89"/>
        <v>7.014242111648912E-2</v>
      </c>
      <c r="BC71" s="41" t="str">
        <f t="shared" si="90"/>
        <v>-3,56142822113957+51,4380820474114i</v>
      </c>
      <c r="BD71">
        <f t="shared" si="91"/>
        <v>34.246464752804116</v>
      </c>
      <c r="BE71" s="43">
        <f t="shared" si="92"/>
        <v>93.960677915432782</v>
      </c>
      <c r="BF71" s="41" t="str">
        <f t="shared" si="93"/>
        <v>1176,29771846269+813,226378815855i</v>
      </c>
      <c r="BG71" s="20">
        <f t="shared" si="94"/>
        <v>63.106961720224099</v>
      </c>
      <c r="BH71" s="43">
        <f t="shared" si="95"/>
        <v>34.657811310138435</v>
      </c>
      <c r="BI71" s="41" t="str">
        <f t="shared" si="101"/>
        <v>3701,29051566821+2585,82498391015i</v>
      </c>
      <c r="BJ71" s="20">
        <f t="shared" si="97"/>
        <v>73.09332921629175</v>
      </c>
      <c r="BK71" s="43">
        <f t="shared" si="102"/>
        <v>34.939225776267314</v>
      </c>
      <c r="BL71">
        <f t="shared" si="99"/>
        <v>63.106961720224099</v>
      </c>
      <c r="BM71" s="43">
        <f t="shared" si="100"/>
        <v>34.657811310138435</v>
      </c>
    </row>
    <row r="72" spans="1:65" x14ac:dyDescent="0.25">
      <c r="A72" t="s">
        <v>458</v>
      </c>
      <c r="B72">
        <f>(B71*2*VOUT/DC_VIN_var_DCM)*(((VOUT/VIN_var)-1)/((2*VOUT/VIN_var)-1))</f>
        <v>171.26570309058843</v>
      </c>
      <c r="C72" t="s">
        <v>150</v>
      </c>
      <c r="N72" s="9">
        <v>54</v>
      </c>
      <c r="O72" s="34">
        <f t="shared" si="62"/>
        <v>34.67368504525318</v>
      </c>
      <c r="P72" s="33" t="str">
        <f t="shared" si="50"/>
        <v>54,631621870174</v>
      </c>
      <c r="Q72" s="4" t="str">
        <f t="shared" si="63"/>
        <v>1+1,73662605963923i</v>
      </c>
      <c r="R72" s="4">
        <f t="shared" si="64"/>
        <v>2.0039635902426167</v>
      </c>
      <c r="S72" s="4">
        <f t="shared" si="65"/>
        <v>1.048339102142515</v>
      </c>
      <c r="T72" s="4" t="str">
        <f t="shared" si="51"/>
        <v>1+0,00435722376844214i</v>
      </c>
      <c r="U72" s="4">
        <f t="shared" si="66"/>
        <v>1.000009492654429</v>
      </c>
      <c r="V72" s="4">
        <f t="shared" si="67"/>
        <v>4.3571961942123648E-3</v>
      </c>
      <c r="W72" t="str">
        <f t="shared" si="52"/>
        <v>1-0,000866943489464829i</v>
      </c>
      <c r="X72" s="4">
        <f t="shared" si="68"/>
        <v>1.0000003757954363</v>
      </c>
      <c r="Y72" s="4">
        <f t="shared" si="69"/>
        <v>-8.6694327226928157E-4</v>
      </c>
      <c r="Z72" t="str">
        <f t="shared" si="53"/>
        <v>0,999999995190942+0,000119111023576572i</v>
      </c>
      <c r="AA72" s="4">
        <f t="shared" si="70"/>
        <v>1.00000000228466</v>
      </c>
      <c r="AB72" s="4">
        <f t="shared" si="71"/>
        <v>1.191110235860905E-4</v>
      </c>
      <c r="AC72" s="47" t="str">
        <f t="shared" si="72"/>
        <v>13,6836322110108-23,579179870478i</v>
      </c>
      <c r="AD72" s="20">
        <f t="shared" si="73"/>
        <v>28.711171039005006</v>
      </c>
      <c r="AE72" s="43">
        <f t="shared" si="74"/>
        <v>-59.87225384838456</v>
      </c>
      <c r="AF72" t="str">
        <f t="shared" si="54"/>
        <v>171,265703090588</v>
      </c>
      <c r="AG72" t="str">
        <f t="shared" si="55"/>
        <v>1+1,72000651796793i</v>
      </c>
      <c r="AH72">
        <f t="shared" si="75"/>
        <v>1.9895784533041572</v>
      </c>
      <c r="AI72">
        <f t="shared" si="76"/>
        <v>1.0441707019732795</v>
      </c>
      <c r="AJ72" t="str">
        <f t="shared" si="56"/>
        <v>1+0,00435722376844214i</v>
      </c>
      <c r="AK72">
        <f t="shared" si="77"/>
        <v>1.000009492654429</v>
      </c>
      <c r="AL72">
        <f t="shared" si="78"/>
        <v>4.3571961942123648E-3</v>
      </c>
      <c r="AM72" t="str">
        <f t="shared" si="57"/>
        <v>1-0,000273897397114947i</v>
      </c>
      <c r="AN72">
        <f t="shared" si="79"/>
        <v>1.0000000375098914</v>
      </c>
      <c r="AO72">
        <f t="shared" si="80"/>
        <v>-2.7389739026570609E-4</v>
      </c>
      <c r="AP72" s="41" t="str">
        <f t="shared" si="81"/>
        <v>43,5700760892172-74,2414810998785i</v>
      </c>
      <c r="AQ72">
        <f t="shared" si="82"/>
        <v>38.698269433835094</v>
      </c>
      <c r="AR72" s="43">
        <f t="shared" si="83"/>
        <v>-59.592618526324436</v>
      </c>
      <c r="AS72" t="str">
        <f t="shared" si="58"/>
        <v>-0,0000166666666666667</v>
      </c>
      <c r="AT72" t="str">
        <f t="shared" si="59"/>
        <v>3,31584728778447E-07i</v>
      </c>
      <c r="AU72">
        <f t="shared" si="84"/>
        <v>3.31584728778447E-7</v>
      </c>
      <c r="AV72">
        <f t="shared" si="85"/>
        <v>1.5707963267948966</v>
      </c>
      <c r="AW72" t="str">
        <f t="shared" si="60"/>
        <v>1+0,00103920645725657i</v>
      </c>
      <c r="AX72">
        <f t="shared" si="86"/>
        <v>1.0000005399748846</v>
      </c>
      <c r="AY72">
        <f t="shared" si="87"/>
        <v>1.039206083159787E-3</v>
      </c>
      <c r="AZ72" t="str">
        <f t="shared" si="61"/>
        <v>1+0,0718941921792953i</v>
      </c>
      <c r="BA72">
        <f t="shared" si="88"/>
        <v>1.0025810565082074</v>
      </c>
      <c r="BB72">
        <f t="shared" si="89"/>
        <v>7.1770706617187319E-2</v>
      </c>
      <c r="BC72" s="41" t="str">
        <f t="shared" si="90"/>
        <v>-3,56142804803384+50,2673749262333i</v>
      </c>
      <c r="BD72">
        <f t="shared" si="91"/>
        <v>34.047469775921371</v>
      </c>
      <c r="BE72" s="43">
        <f t="shared" si="92"/>
        <v>94.052616459227082</v>
      </c>
      <c r="BF72" s="41" t="str">
        <f t="shared" si="93"/>
        <v>1136,53020344714+771,815823243918i</v>
      </c>
      <c r="BG72" s="20">
        <f t="shared" si="94"/>
        <v>62.758640814926395</v>
      </c>
      <c r="BH72" s="43">
        <f t="shared" si="95"/>
        <v>34.180362610842487</v>
      </c>
      <c r="BI72" s="41" t="str">
        <f t="shared" si="101"/>
        <v>3576,75267448735+2454,55904345788i</v>
      </c>
      <c r="BJ72" s="20">
        <f t="shared" si="97"/>
        <v>72.745739209756479</v>
      </c>
      <c r="BK72" s="43">
        <f t="shared" si="102"/>
        <v>34.459997932902702</v>
      </c>
      <c r="BL72">
        <f t="shared" si="99"/>
        <v>62.758640814926395</v>
      </c>
      <c r="BM72" s="43">
        <f t="shared" si="100"/>
        <v>34.180362610842487</v>
      </c>
    </row>
    <row r="73" spans="1:65" x14ac:dyDescent="0.25">
      <c r="A73" t="s">
        <v>483</v>
      </c>
      <c r="B73">
        <f>(IOUT_VAR*((2*VOUT)-VIN_var))/(Cout*VOUT*(VOUT-VIN_var))</f>
        <v>126.66300164925782</v>
      </c>
      <c r="C73" t="s">
        <v>385</v>
      </c>
      <c r="N73" s="9">
        <v>55</v>
      </c>
      <c r="O73" s="34">
        <f t="shared" si="62"/>
        <v>35.481338923357555</v>
      </c>
      <c r="P73" s="33" t="str">
        <f t="shared" si="50"/>
        <v>54,631621870174</v>
      </c>
      <c r="Q73" s="4" t="str">
        <f t="shared" si="63"/>
        <v>1+1,77707727704096i</v>
      </c>
      <c r="R73" s="4">
        <f t="shared" si="64"/>
        <v>2.0391183508014712</v>
      </c>
      <c r="S73" s="4">
        <f t="shared" si="65"/>
        <v>1.0582384464603363</v>
      </c>
      <c r="T73" s="4" t="str">
        <f t="shared" si="51"/>
        <v>1+0,00445871654804598i</v>
      </c>
      <c r="U73" s="4">
        <f t="shared" si="66"/>
        <v>1.0000099400272258</v>
      </c>
      <c r="V73" s="4">
        <f t="shared" si="67"/>
        <v>4.4586870017423105E-3</v>
      </c>
      <c r="W73" t="str">
        <f t="shared" si="52"/>
        <v>1-0,000887137197472783i</v>
      </c>
      <c r="X73" s="4">
        <f t="shared" si="68"/>
        <v>1.0000003935061261</v>
      </c>
      <c r="Y73" s="4">
        <f t="shared" si="69"/>
        <v>-8.8713696474356581E-4</v>
      </c>
      <c r="Z73" t="str">
        <f t="shared" si="53"/>
        <v>0,999999994964298+0,000121885475729294i</v>
      </c>
      <c r="AA73" s="4">
        <f t="shared" si="70"/>
        <v>1.0000000023923326</v>
      </c>
      <c r="AB73" s="4">
        <f t="shared" si="71"/>
        <v>1.2188547573949325E-4</v>
      </c>
      <c r="AC73" s="47" t="str">
        <f t="shared" si="72"/>
        <v>13,2195106123781-23,3036295797438i</v>
      </c>
      <c r="AD73" s="20">
        <f t="shared" si="73"/>
        <v>28.560122949404896</v>
      </c>
      <c r="AE73" s="43">
        <f t="shared" si="74"/>
        <v>-60.434945480562227</v>
      </c>
      <c r="AF73" t="str">
        <f t="shared" si="54"/>
        <v>171,265703090588</v>
      </c>
      <c r="AG73" t="str">
        <f t="shared" si="55"/>
        <v>1+1,76007061651381i</v>
      </c>
      <c r="AH73">
        <f t="shared" si="75"/>
        <v>2.0243143469123819</v>
      </c>
      <c r="AI73">
        <f t="shared" si="76"/>
        <v>1.0541184211378483</v>
      </c>
      <c r="AJ73" t="str">
        <f t="shared" si="56"/>
        <v>1+0,00445871654804598i</v>
      </c>
      <c r="AK73">
        <f t="shared" si="77"/>
        <v>1.0000099400272258</v>
      </c>
      <c r="AL73">
        <f t="shared" si="78"/>
        <v>4.4586870017423105E-3</v>
      </c>
      <c r="AM73" t="str">
        <f t="shared" si="57"/>
        <v>1-0,000280277287071664i</v>
      </c>
      <c r="AN73">
        <f t="shared" si="79"/>
        <v>1.000000039277678</v>
      </c>
      <c r="AO73">
        <f t="shared" si="80"/>
        <v>-2.8027727973257017E-4</v>
      </c>
      <c r="AP73" s="41" t="str">
        <f t="shared" si="81"/>
        <v>42,1014738744915-73,3859437405642i</v>
      </c>
      <c r="AQ73">
        <f t="shared" si="82"/>
        <v>38.547935652595896</v>
      </c>
      <c r="AR73" s="43">
        <f t="shared" si="83"/>
        <v>-60.157131396045003</v>
      </c>
      <c r="AS73" t="str">
        <f t="shared" si="58"/>
        <v>-0,0000166666666666667</v>
      </c>
      <c r="AT73" t="str">
        <f t="shared" si="59"/>
        <v>0,0000003393083293063i</v>
      </c>
      <c r="AU73">
        <f t="shared" si="84"/>
        <v>3.3930832930629999E-7</v>
      </c>
      <c r="AV73">
        <f t="shared" si="85"/>
        <v>1.5707963267948966</v>
      </c>
      <c r="AW73" t="str">
        <f t="shared" si="60"/>
        <v>1+0,00106341268524355i</v>
      </c>
      <c r="AX73">
        <f t="shared" si="86"/>
        <v>1.0000005654231097</v>
      </c>
      <c r="AY73">
        <f t="shared" si="87"/>
        <v>1.0634122843916371E-3</v>
      </c>
      <c r="AZ73" t="str">
        <f t="shared" si="61"/>
        <v>1+0,0735688230427587i</v>
      </c>
      <c r="BA73">
        <f t="shared" si="88"/>
        <v>1.0027025340168922</v>
      </c>
      <c r="BB73">
        <f t="shared" si="89"/>
        <v>7.343652513249134E-2</v>
      </c>
      <c r="BC73" s="41" t="str">
        <f t="shared" si="90"/>
        <v>-3,56142786676989+49,1233202325913i</v>
      </c>
      <c r="BD73">
        <f t="shared" si="91"/>
        <v>33.848521914996276</v>
      </c>
      <c r="BE73" s="43">
        <f t="shared" si="92"/>
        <v>94.146673916420127</v>
      </c>
      <c r="BF73" s="41" t="str">
        <f t="shared" si="93"/>
        <v>1097,67132494746+732,380448912171i</v>
      </c>
      <c r="BG73" s="20">
        <f t="shared" si="94"/>
        <v>62.408644864401182</v>
      </c>
      <c r="BH73" s="43">
        <f t="shared" si="95"/>
        <v>33.71172843585785</v>
      </c>
      <c r="BI73" s="41" t="str">
        <f t="shared" si="101"/>
        <v>3455,01985264997+2329,52292846757i</v>
      </c>
      <c r="BJ73" s="20">
        <f t="shared" si="97"/>
        <v>72.396457567592179</v>
      </c>
      <c r="BK73" s="43">
        <f t="shared" si="102"/>
        <v>33.989542520375039</v>
      </c>
      <c r="BL73">
        <f t="shared" si="99"/>
        <v>62.408644864401182</v>
      </c>
      <c r="BM73" s="43">
        <f t="shared" si="100"/>
        <v>33.71172843585785</v>
      </c>
    </row>
    <row r="74" spans="1:65" x14ac:dyDescent="0.25">
      <c r="B74">
        <f>B73/(2*PI())</f>
        <v>20.159042819336275</v>
      </c>
      <c r="C74" t="s">
        <v>65</v>
      </c>
      <c r="N74" s="9">
        <v>56</v>
      </c>
      <c r="O74" s="34">
        <f t="shared" si="62"/>
        <v>36.307805477010156</v>
      </c>
      <c r="P74" s="33" t="str">
        <f t="shared" si="50"/>
        <v>54,631621870174</v>
      </c>
      <c r="Q74" s="4" t="str">
        <f t="shared" si="63"/>
        <v>1+1,81847072433738i</v>
      </c>
      <c r="R74" s="4">
        <f t="shared" si="64"/>
        <v>2.0752917325696929</v>
      </c>
      <c r="S74" s="4">
        <f t="shared" si="65"/>
        <v>1.068020204889369</v>
      </c>
      <c r="T74" s="4" t="str">
        <f t="shared" si="51"/>
        <v>1+0,0045625733981817i</v>
      </c>
      <c r="U74" s="4">
        <f t="shared" si="66"/>
        <v>1.0000104084838386</v>
      </c>
      <c r="V74" s="4">
        <f t="shared" si="67"/>
        <v>4.5625417387647168E-3</v>
      </c>
      <c r="W74" t="str">
        <f t="shared" si="52"/>
        <v>1-0,00090780127736549i</v>
      </c>
      <c r="X74" s="4">
        <f t="shared" si="68"/>
        <v>1.0000004120514947</v>
      </c>
      <c r="Y74" s="4">
        <f t="shared" si="69"/>
        <v>-9.0780102799164651E-4</v>
      </c>
      <c r="Z74" t="str">
        <f t="shared" si="53"/>
        <v>0,999999994726973+0,000124724553174593i</v>
      </c>
      <c r="AA74" s="4">
        <f t="shared" si="70"/>
        <v>1.0000000025050799</v>
      </c>
      <c r="AB74" s="4">
        <f t="shared" si="71"/>
        <v>1.2472455318552166E-4</v>
      </c>
      <c r="AC74" s="47" t="str">
        <f t="shared" si="72"/>
        <v>12,7663489921967-23,0223797053263i</v>
      </c>
      <c r="AD74" s="20">
        <f t="shared" si="73"/>
        <v>28.407392720068817</v>
      </c>
      <c r="AE74" s="43">
        <f t="shared" si="74"/>
        <v>-60.990795147415604</v>
      </c>
      <c r="AF74" t="str">
        <f t="shared" si="54"/>
        <v>171,265703090588</v>
      </c>
      <c r="AG74" t="str">
        <f t="shared" si="55"/>
        <v>1+1,80106792779785i</v>
      </c>
      <c r="AH74">
        <f t="shared" si="75"/>
        <v>2.0600596303364722</v>
      </c>
      <c r="AI74">
        <f t="shared" si="76"/>
        <v>1.0639495780235506</v>
      </c>
      <c r="AJ74" t="str">
        <f t="shared" si="56"/>
        <v>1+0,0045625733981817i</v>
      </c>
      <c r="AK74">
        <f t="shared" si="77"/>
        <v>1.0000104084838386</v>
      </c>
      <c r="AL74">
        <f t="shared" si="78"/>
        <v>4.5625417387647168E-3</v>
      </c>
      <c r="AM74" t="str">
        <f t="shared" si="57"/>
        <v>1-0,000286805783755896i</v>
      </c>
      <c r="AN74">
        <f t="shared" si="79"/>
        <v>1.0000000411287779</v>
      </c>
      <c r="AO74">
        <f t="shared" si="80"/>
        <v>-2.8680577589191534E-4</v>
      </c>
      <c r="AP74" s="41" t="str">
        <f t="shared" si="81"/>
        <v>40,6670855764018-72,5118912019311i</v>
      </c>
      <c r="AQ74">
        <f t="shared" si="82"/>
        <v>38.395902967307542</v>
      </c>
      <c r="AR74" s="43">
        <f t="shared" si="83"/>
        <v>-60.714838810489375</v>
      </c>
      <c r="AS74" t="str">
        <f t="shared" si="58"/>
        <v>-0,0000166666666666667</v>
      </c>
      <c r="AT74" t="str">
        <f t="shared" si="59"/>
        <v>3,47211835601627E-07i</v>
      </c>
      <c r="AU74">
        <f t="shared" si="84"/>
        <v>3.47211835601627E-7</v>
      </c>
      <c r="AV74">
        <f t="shared" si="85"/>
        <v>1.5707963267948966</v>
      </c>
      <c r="AW74" t="str">
        <f t="shared" si="60"/>
        <v>1+0,00108818274871219i</v>
      </c>
      <c r="AX74">
        <f t="shared" si="86"/>
        <v>1.000000592070672</v>
      </c>
      <c r="AY74">
        <f t="shared" si="87"/>
        <v>1.0881823191916404E-3</v>
      </c>
      <c r="AZ74" t="str">
        <f t="shared" si="61"/>
        <v>1+0,0752824610699981i</v>
      </c>
      <c r="BA74">
        <f t="shared" si="88"/>
        <v>1.0028297208124397</v>
      </c>
      <c r="BB74">
        <f t="shared" si="89"/>
        <v>7.5140722900173693E-2</v>
      </c>
      <c r="BC74" s="41" t="str">
        <f t="shared" si="90"/>
        <v>-3,56142767696329+48,0053113735424i</v>
      </c>
      <c r="BD74">
        <f t="shared" si="91"/>
        <v>33.649623366613866</v>
      </c>
      <c r="BE74" s="43">
        <f t="shared" si="92"/>
        <v>94.242898037511537</v>
      </c>
      <c r="BF74" s="41" t="str">
        <f t="shared" si="93"/>
        <v>1059,73007767953+694,845098745819i</v>
      </c>
      <c r="BG74" s="20">
        <f t="shared" si="94"/>
        <v>62.057016086682694</v>
      </c>
      <c r="BH74" s="43">
        <f t="shared" si="95"/>
        <v>33.252102890095955</v>
      </c>
      <c r="BI74" s="41" t="str">
        <f t="shared" si="101"/>
        <v>3336,1230313199+2210,48196198517i</v>
      </c>
      <c r="BJ74" s="20">
        <f t="shared" si="97"/>
        <v>72.045526333921416</v>
      </c>
      <c r="BK74" s="43">
        <f t="shared" si="102"/>
        <v>33.528059227022155</v>
      </c>
      <c r="BL74">
        <f t="shared" si="99"/>
        <v>62.057016086682694</v>
      </c>
      <c r="BM74" s="43">
        <f t="shared" si="100"/>
        <v>33.252102890095955</v>
      </c>
    </row>
    <row r="75" spans="1:65" x14ac:dyDescent="0.25">
      <c r="A75" t="s">
        <v>461</v>
      </c>
      <c r="B75">
        <f>1/(Cout*Resr)</f>
        <v>49999.999999999993</v>
      </c>
      <c r="C75" t="s">
        <v>385</v>
      </c>
      <c r="N75" s="9">
        <v>57</v>
      </c>
      <c r="O75" s="34">
        <f t="shared" si="62"/>
        <v>37.15352290971726</v>
      </c>
      <c r="P75" s="33" t="str">
        <f t="shared" si="50"/>
        <v>54,631621870174</v>
      </c>
      <c r="Q75" s="4" t="str">
        <f t="shared" si="63"/>
        <v>1+1,86082834888215i</v>
      </c>
      <c r="R75" s="4">
        <f t="shared" si="64"/>
        <v>2.112506128749327</v>
      </c>
      <c r="S75" s="4">
        <f t="shared" si="65"/>
        <v>1.0776820755611975</v>
      </c>
      <c r="T75" s="4" t="str">
        <f t="shared" si="51"/>
        <v>1+0,00466884938512592i</v>
      </c>
      <c r="U75" s="4">
        <f t="shared" si="66"/>
        <v>1.0000108990178962</v>
      </c>
      <c r="V75" s="4">
        <f t="shared" si="67"/>
        <v>4.6688154614693989E-3</v>
      </c>
      <c r="W75" t="str">
        <f t="shared" si="52"/>
        <v>1-0,000928946685511623i</v>
      </c>
      <c r="X75" s="4">
        <f t="shared" si="68"/>
        <v>1.0000004314708792</v>
      </c>
      <c r="Y75" s="4">
        <f t="shared" si="69"/>
        <v>-9.2894641830274167E-4</v>
      </c>
      <c r="Z75" t="str">
        <f t="shared" si="53"/>
        <v>0,999999994478463+0,000127629761228909i</v>
      </c>
      <c r="AA75" s="4">
        <f t="shared" si="70"/>
        <v>1.000000002623141</v>
      </c>
      <c r="AB75" s="4">
        <f t="shared" si="71"/>
        <v>1.2762976124061924E-4</v>
      </c>
      <c r="AC75" s="47" t="str">
        <f t="shared" si="72"/>
        <v>12,3242270880277-22,7359268466061i</v>
      </c>
      <c r="AD75" s="20">
        <f t="shared" si="73"/>
        <v>28.25302071581774</v>
      </c>
      <c r="AE75" s="43">
        <f t="shared" si="74"/>
        <v>-61.539668521109647</v>
      </c>
      <c r="AF75" t="str">
        <f t="shared" si="54"/>
        <v>171,265703090588</v>
      </c>
      <c r="AG75" t="str">
        <f t="shared" si="55"/>
        <v>1+1,84302018913716i</v>
      </c>
      <c r="AH75">
        <f t="shared" si="75"/>
        <v>2.0968365261906263</v>
      </c>
      <c r="AI75">
        <f t="shared" si="76"/>
        <v>1.0736617829677568</v>
      </c>
      <c r="AJ75" t="str">
        <f t="shared" si="56"/>
        <v>1+0,00466884938512592i</v>
      </c>
      <c r="AK75">
        <f t="shared" si="77"/>
        <v>1.0000108990178962</v>
      </c>
      <c r="AL75">
        <f t="shared" si="78"/>
        <v>4.6688154614693989E-3</v>
      </c>
      <c r="AM75" t="str">
        <f t="shared" si="57"/>
        <v>1-0,000293486348662998i</v>
      </c>
      <c r="AN75">
        <f t="shared" si="79"/>
        <v>1.0000000430671174</v>
      </c>
      <c r="AO75">
        <f t="shared" si="80"/>
        <v>-2.9348634023659088E-4</v>
      </c>
      <c r="AP75" s="41" t="str">
        <f t="shared" si="81"/>
        <v>39,2671969237958-71,6208870746639i</v>
      </c>
      <c r="AQ75">
        <f t="shared" si="82"/>
        <v>38.242211611596019</v>
      </c>
      <c r="AR75" s="43">
        <f t="shared" si="83"/>
        <v>-61.265600895916137</v>
      </c>
      <c r="AS75" t="str">
        <f t="shared" si="58"/>
        <v>-0,0000166666666666667</v>
      </c>
      <c r="AT75" t="str">
        <f t="shared" si="59"/>
        <v>3,55299438208082E-07i</v>
      </c>
      <c r="AU75">
        <f t="shared" si="84"/>
        <v>3.5529943820808199E-7</v>
      </c>
      <c r="AV75">
        <f t="shared" si="85"/>
        <v>1.5707963267948966</v>
      </c>
      <c r="AW75" t="str">
        <f t="shared" si="60"/>
        <v>1+0,00111352978107799i</v>
      </c>
      <c r="AX75">
        <f t="shared" si="86"/>
        <v>1.0000006199740945</v>
      </c>
      <c r="AY75">
        <f t="shared" si="87"/>
        <v>1.1135293208384446E-3</v>
      </c>
      <c r="AZ75" t="str">
        <f t="shared" si="61"/>
        <v>1+0,0770360148545777i</v>
      </c>
      <c r="BA75">
        <f t="shared" si="88"/>
        <v>1.0029628844502048</v>
      </c>
      <c r="BB75">
        <f t="shared" si="89"/>
        <v>7.6884163890398899E-2</v>
      </c>
      <c r="BC75" s="41" t="str">
        <f t="shared" si="90"/>
        <v>-3,56142747821137+46,9127555659899i</v>
      </c>
      <c r="BD75">
        <f t="shared" si="91"/>
        <v>33.450776428592704</v>
      </c>
      <c r="BE75" s="43">
        <f t="shared" si="92"/>
        <v>94.34133757186386</v>
      </c>
      <c r="BF75" s="41" t="str">
        <f t="shared" si="93"/>
        <v>1022,71313772204+659,135807534502i</v>
      </c>
      <c r="BG75" s="20">
        <f t="shared" si="94"/>
        <v>61.703797144410437</v>
      </c>
      <c r="BH75" s="43">
        <f t="shared" si="95"/>
        <v>32.801669050754263</v>
      </c>
      <c r="BI75" s="41" t="str">
        <f t="shared" si="101"/>
        <v>3220,08589463633+2097,2050062892i</v>
      </c>
      <c r="BJ75" s="20">
        <f t="shared" si="97"/>
        <v>71.692988040188723</v>
      </c>
      <c r="BK75" s="43">
        <f t="shared" si="102"/>
        <v>33.075736675947674</v>
      </c>
      <c r="BL75">
        <f t="shared" si="99"/>
        <v>61.703797144410437</v>
      </c>
      <c r="BM75" s="43">
        <f t="shared" si="100"/>
        <v>32.801669050754263</v>
      </c>
    </row>
    <row r="76" spans="1:65" x14ac:dyDescent="0.25">
      <c r="B76">
        <f>B75/(2*PI())</f>
        <v>7957.7471545947656</v>
      </c>
      <c r="C76" t="s">
        <v>65</v>
      </c>
      <c r="N76" s="9">
        <v>58</v>
      </c>
      <c r="O76" s="34">
        <f t="shared" si="62"/>
        <v>38.018939632056139</v>
      </c>
      <c r="P76" s="33" t="str">
        <f t="shared" si="50"/>
        <v>54,631621870174</v>
      </c>
      <c r="Q76" s="4" t="str">
        <f t="shared" si="63"/>
        <v>1+1,90417260924847i</v>
      </c>
      <c r="R76" s="4">
        <f t="shared" si="64"/>
        <v>2.1507843513035252</v>
      </c>
      <c r="S76" s="4">
        <f t="shared" si="65"/>
        <v>1.0872219649315611</v>
      </c>
      <c r="T76" s="4" t="str">
        <f t="shared" si="51"/>
        <v>1+0,00477760085781366i</v>
      </c>
      <c r="U76" s="4">
        <f t="shared" si="66"/>
        <v>1.0000114126698538</v>
      </c>
      <c r="V76" s="4">
        <f t="shared" si="67"/>
        <v>4.7775645079831987E-3</v>
      </c>
      <c r="W76" t="str">
        <f t="shared" si="52"/>
        <v>1-0,000950584633486477i</v>
      </c>
      <c r="X76" s="4">
        <f t="shared" si="68"/>
        <v>1.0000004518054706</v>
      </c>
      <c r="Y76" s="4">
        <f t="shared" si="69"/>
        <v>-9.5058434716700909E-4</v>
      </c>
      <c r="Z76" t="str">
        <f t="shared" si="53"/>
        <v>0,999999994218241+0,000130602640272009i</v>
      </c>
      <c r="AA76" s="4">
        <f t="shared" si="70"/>
        <v>1.0000000027467657</v>
      </c>
      <c r="AB76" s="4">
        <f t="shared" si="71"/>
        <v>1.3060264028455675E-4</v>
      </c>
      <c r="AC76" s="47" t="str">
        <f t="shared" si="72"/>
        <v>11,8931979719149-22,444760780012i</v>
      </c>
      <c r="AD76" s="20">
        <f t="shared" si="73"/>
        <v>28.097047545140519</v>
      </c>
      <c r="AE76" s="43">
        <f t="shared" si="74"/>
        <v>-62.081443153085374</v>
      </c>
      <c r="AF76" t="str">
        <f t="shared" si="54"/>
        <v>171,265703090588</v>
      </c>
      <c r="AG76" t="str">
        <f t="shared" si="55"/>
        <v>1+1,88594964417601i</v>
      </c>
      <c r="AH76">
        <f t="shared" si="75"/>
        <v>2.1346676697714844</v>
      </c>
      <c r="AI76">
        <f t="shared" si="76"/>
        <v>1.0832528557781214</v>
      </c>
      <c r="AJ76" t="str">
        <f t="shared" si="56"/>
        <v>1+0,00477760085781366i</v>
      </c>
      <c r="AK76">
        <f t="shared" si="77"/>
        <v>1.0000114126698538</v>
      </c>
      <c r="AL76">
        <f t="shared" si="78"/>
        <v>4.7775645079831987E-3</v>
      </c>
      <c r="AM76" t="str">
        <f t="shared" si="57"/>
        <v>1-0,000300322523916911i</v>
      </c>
      <c r="AN76">
        <f t="shared" si="79"/>
        <v>1.0000000450968081</v>
      </c>
      <c r="AO76">
        <f t="shared" si="80"/>
        <v>-3.0032251488785311E-4</v>
      </c>
      <c r="AP76" s="41" t="str">
        <f t="shared" si="81"/>
        <v>37,9020087068484-70,7144756124497i</v>
      </c>
      <c r="AQ76">
        <f t="shared" si="82"/>
        <v>38.086902103927763</v>
      </c>
      <c r="AR76" s="43">
        <f t="shared" si="83"/>
        <v>-61.809289711516911</v>
      </c>
      <c r="AS76" t="str">
        <f t="shared" si="58"/>
        <v>-0,0000166666666666667</v>
      </c>
      <c r="AT76" t="str">
        <f t="shared" si="59"/>
        <v>3,63575425279619E-07i</v>
      </c>
      <c r="AU76">
        <f t="shared" si="84"/>
        <v>3.6357542527961897E-7</v>
      </c>
      <c r="AV76">
        <f t="shared" si="85"/>
        <v>1.5707963267948966</v>
      </c>
      <c r="AW76" t="str">
        <f t="shared" si="60"/>
        <v>1+0,00113946722167303i</v>
      </c>
      <c r="AX76">
        <f t="shared" si="86"/>
        <v>1.0000006491925639</v>
      </c>
      <c r="AY76">
        <f t="shared" si="87"/>
        <v>1.1394667285174894E-3</v>
      </c>
      <c r="AZ76" t="str">
        <f t="shared" si="61"/>
        <v>1+0,0788304141539254i</v>
      </c>
      <c r="BA76">
        <f t="shared" si="88"/>
        <v>1.0031023049498389</v>
      </c>
      <c r="BB76">
        <f t="shared" si="89"/>
        <v>7.8667730080229079E-2</v>
      </c>
      <c r="BC76" s="41" t="str">
        <f t="shared" si="90"/>
        <v>-3,56142727009259+45,8450735223813i</v>
      </c>
      <c r="BD76">
        <f t="shared" si="91"/>
        <v>33.251983504537776</v>
      </c>
      <c r="BE76" s="43">
        <f t="shared" si="92"/>
        <v>94.442042283031853</v>
      </c>
      <c r="BF76" s="41" t="str">
        <f t="shared" si="93"/>
        <v>986,624948566123+625,179918551314i</v>
      </c>
      <c r="BG76" s="20">
        <f t="shared" si="94"/>
        <v>61.349031049678302</v>
      </c>
      <c r="BH76" s="43">
        <f t="shared" si="95"/>
        <v>32.360599129946472</v>
      </c>
      <c r="BI76" s="41" t="str">
        <f t="shared" si="101"/>
        <v>3106,92508614954+1989,46483764788i</v>
      </c>
      <c r="BJ76" s="20">
        <f t="shared" si="97"/>
        <v>71.338885608465546</v>
      </c>
      <c r="BK76" s="43">
        <f t="shared" si="102"/>
        <v>32.632752571514978</v>
      </c>
      <c r="BL76">
        <f t="shared" si="99"/>
        <v>61.349031049678302</v>
      </c>
      <c r="BM76" s="43">
        <f t="shared" si="100"/>
        <v>32.360599129946472</v>
      </c>
    </row>
    <row r="77" spans="1:65" x14ac:dyDescent="0.25">
      <c r="A77" t="s">
        <v>462</v>
      </c>
      <c r="B77">
        <f>2*Fsw/(DC_VIN_var_DCM)</f>
        <v>795411.67866840598</v>
      </c>
      <c r="C77" t="s">
        <v>385</v>
      </c>
      <c r="N77" s="9">
        <v>59</v>
      </c>
      <c r="O77" s="34">
        <f t="shared" si="62"/>
        <v>38.904514499428053</v>
      </c>
      <c r="P77" s="33" t="str">
        <f t="shared" si="50"/>
        <v>54,631621870174</v>
      </c>
      <c r="Q77" s="4" t="str">
        <f t="shared" si="63"/>
        <v>1+1,94852648713692i</v>
      </c>
      <c r="R77" s="4">
        <f t="shared" si="64"/>
        <v>2.1901496458174146</v>
      </c>
      <c r="S77" s="4">
        <f t="shared" si="65"/>
        <v>1.0966379845840122</v>
      </c>
      <c r="T77" s="4" t="str">
        <f t="shared" si="51"/>
        <v>1+0,00488888547771524i</v>
      </c>
      <c r="U77" s="4">
        <f t="shared" si="66"/>
        <v>1.0000119505291996</v>
      </c>
      <c r="V77" s="4">
        <f t="shared" si="67"/>
        <v>4.888846528195297E-3</v>
      </c>
      <c r="W77" t="str">
        <f t="shared" si="52"/>
        <v>1-0,000972726594016481i</v>
      </c>
      <c r="X77" s="4">
        <f t="shared" si="68"/>
        <v>1.0000004730984013</v>
      </c>
      <c r="Y77" s="4">
        <f t="shared" si="69"/>
        <v>-9.7272628721965153E-4</v>
      </c>
      <c r="Z77" t="str">
        <f t="shared" si="53"/>
        <v>0,999999993945755+0,000133644766563711i</v>
      </c>
      <c r="AA77" s="4">
        <f t="shared" si="70"/>
        <v>1.0000000028762168</v>
      </c>
      <c r="AB77" s="4">
        <f t="shared" si="71"/>
        <v>1.3364476657715617E-4</v>
      </c>
      <c r="AC77" s="47" t="str">
        <f t="shared" si="72"/>
        <v>11,4732891648643-22,1493629885587i</v>
      </c>
      <c r="AD77" s="20">
        <f t="shared" si="73"/>
        <v>27.939513964424194</v>
      </c>
      <c r="AE77" s="43">
        <f t="shared" si="74"/>
        <v>-62.616008289601908</v>
      </c>
      <c r="AF77" t="str">
        <f t="shared" si="54"/>
        <v>171,265703090588</v>
      </c>
      <c r="AG77" t="str">
        <f t="shared" si="55"/>
        <v>1+1,92987905467969i</v>
      </c>
      <c r="AH77">
        <f t="shared" si="75"/>
        <v>2.1735761237397173</v>
      </c>
      <c r="AI77">
        <f t="shared" si="76"/>
        <v>1.0927208228003051</v>
      </c>
      <c r="AJ77" t="str">
        <f t="shared" si="56"/>
        <v>1+0,00488888547771524i</v>
      </c>
      <c r="AK77">
        <f t="shared" si="77"/>
        <v>1.0000119505291996</v>
      </c>
      <c r="AL77">
        <f t="shared" si="78"/>
        <v>4.888846528195297E-3</v>
      </c>
      <c r="AM77" t="str">
        <f t="shared" si="57"/>
        <v>1-0,000307317934148245i</v>
      </c>
      <c r="AN77">
        <f t="shared" si="79"/>
        <v>1.0000000472221551</v>
      </c>
      <c r="AO77">
        <f t="shared" si="80"/>
        <v>-3.0731792447343524E-4</v>
      </c>
      <c r="AP77" s="41" t="str">
        <f t="shared" si="81"/>
        <v>36,5716401613364-69,7941769560396i</v>
      </c>
      <c r="AQ77">
        <f t="shared" si="82"/>
        <v>37.93001515015775</v>
      </c>
      <c r="AR77" s="43">
        <f t="shared" si="83"/>
        <v>-62.345789079808441</v>
      </c>
      <c r="AS77" t="str">
        <f t="shared" si="58"/>
        <v>-0,0000166666666666667</v>
      </c>
      <c r="AT77" t="str">
        <f t="shared" si="59"/>
        <v>3,72044184854129E-07i</v>
      </c>
      <c r="AU77">
        <f t="shared" si="84"/>
        <v>3.7204418485412899E-7</v>
      </c>
      <c r="AV77">
        <f t="shared" si="85"/>
        <v>1.5707963267948966</v>
      </c>
      <c r="AW77" t="str">
        <f t="shared" si="60"/>
        <v>1+0,00116600882287164i</v>
      </c>
      <c r="AX77">
        <f t="shared" si="86"/>
        <v>1.0000006797880565</v>
      </c>
      <c r="AY77">
        <f t="shared" si="87"/>
        <v>1.1660082944459772E-3</v>
      </c>
      <c r="AZ77" t="str">
        <f t="shared" si="61"/>
        <v>1+0,0806666103823015i</v>
      </c>
      <c r="BA77">
        <f t="shared" si="88"/>
        <v>1.003248275368849</v>
      </c>
      <c r="BB77">
        <f t="shared" si="89"/>
        <v>8.0492321724974072E-2</v>
      </c>
      <c r="BC77" s="41" t="str">
        <f t="shared" si="90"/>
        <v>-3,56142705216549+44,8016991435633i</v>
      </c>
      <c r="BD77">
        <f t="shared" si="91"/>
        <v>33.053247108587755</v>
      </c>
      <c r="BE77" s="43">
        <f t="shared" si="92"/>
        <v>94.545062963901159</v>
      </c>
      <c r="BF77" s="41" t="str">
        <f t="shared" si="93"/>
        <v>951,467814425918+592,906189887041i</v>
      </c>
      <c r="BG77" s="20">
        <f t="shared" si="94"/>
        <v>60.992761073011941</v>
      </c>
      <c r="BH77" s="43">
        <f t="shared" si="95"/>
        <v>31.92905467429927</v>
      </c>
      <c r="BI77" s="41" t="str">
        <f t="shared" si="101"/>
        <v>2996,65048934446+1887,03848958971i</v>
      </c>
      <c r="BJ77" s="20">
        <f t="shared" si="97"/>
        <v>70.983262258745498</v>
      </c>
      <c r="BK77" s="43">
        <f t="shared" si="102"/>
        <v>32.199273884092676</v>
      </c>
      <c r="BL77">
        <f t="shared" si="99"/>
        <v>60.992761073011941</v>
      </c>
      <c r="BM77" s="43">
        <f t="shared" si="100"/>
        <v>31.92905467429927</v>
      </c>
    </row>
    <row r="78" spans="1:65" x14ac:dyDescent="0.25">
      <c r="B78">
        <f>B77/(2*PI())</f>
        <v>126593.7004530991</v>
      </c>
      <c r="C78" t="s">
        <v>65</v>
      </c>
      <c r="N78" s="9">
        <v>60</v>
      </c>
      <c r="O78" s="34">
        <f t="shared" si="62"/>
        <v>39.810717055349755</v>
      </c>
      <c r="P78" s="33" t="str">
        <f t="shared" si="50"/>
        <v>54,631621870174</v>
      </c>
      <c r="Q78" s="4" t="str">
        <f t="shared" si="63"/>
        <v>1+1,99391349956064i</v>
      </c>
      <c r="R78" s="4">
        <f t="shared" si="64"/>
        <v>2.2306257067760513</v>
      </c>
      <c r="S78" s="4">
        <f t="shared" si="65"/>
        <v>1.1059284474400108</v>
      </c>
      <c r="T78" s="4" t="str">
        <f t="shared" si="51"/>
        <v>1+0,00500276224940914i</v>
      </c>
      <c r="U78" s="4">
        <f t="shared" si="66"/>
        <v>1.0000125137367653</v>
      </c>
      <c r="V78" s="4">
        <f t="shared" si="67"/>
        <v>5.0027205142747985E-3</v>
      </c>
      <c r="W78" t="str">
        <f t="shared" si="52"/>
        <v>1-0,000995384307062189i</v>
      </c>
      <c r="X78" s="4">
        <f t="shared" si="68"/>
        <v>1.0000004953948367</v>
      </c>
      <c r="Y78" s="4">
        <f t="shared" si="69"/>
        <v>-9.9538397832347222E-4</v>
      </c>
      <c r="Z78" t="str">
        <f t="shared" si="53"/>
        <v>0,999999993660427+0,000136757753079642i</v>
      </c>
      <c r="AA78" s="4">
        <f t="shared" si="70"/>
        <v>1.0000000030117684</v>
      </c>
      <c r="AB78" s="4">
        <f t="shared" si="71"/>
        <v>1.3675775309404878E-4</v>
      </c>
      <c r="AC78" s="47" t="str">
        <f t="shared" si="72"/>
        <v>11,0645038238132-21,8502053215246i</v>
      </c>
      <c r="AD78" s="20">
        <f t="shared" si="73"/>
        <v>27.780460786410202</v>
      </c>
      <c r="AE78" s="43">
        <f t="shared" si="74"/>
        <v>-63.143264653237708</v>
      </c>
      <c r="AF78" t="str">
        <f t="shared" si="54"/>
        <v>171,265703090588</v>
      </c>
      <c r="AG78" t="str">
        <f t="shared" si="55"/>
        <v>1+1,97483171260313i</v>
      </c>
      <c r="AH78">
        <f t="shared" si="75"/>
        <v>2.2135853932258884</v>
      </c>
      <c r="AI78">
        <f t="shared" si="76"/>
        <v>1.1020639133692771</v>
      </c>
      <c r="AJ78" t="str">
        <f t="shared" si="56"/>
        <v>1+0,00500276224940914i</v>
      </c>
      <c r="AK78">
        <f t="shared" si="77"/>
        <v>1.0000125137367653</v>
      </c>
      <c r="AL78">
        <f t="shared" si="78"/>
        <v>5.0027205142747985E-3</v>
      </c>
      <c r="AM78" t="str">
        <f t="shared" si="57"/>
        <v>1-0,000314476288416096i</v>
      </c>
      <c r="AN78">
        <f t="shared" si="79"/>
        <v>1.0000000494476666</v>
      </c>
      <c r="AO78">
        <f t="shared" si="80"/>
        <v>-3.1447627804935058E-4</v>
      </c>
      <c r="AP78" s="41" t="str">
        <f t="shared" si="81"/>
        <v>35,2761325985778-68,8614827622653i</v>
      </c>
      <c r="AQ78">
        <f t="shared" si="82"/>
        <v>37.771591550188731</v>
      </c>
      <c r="AR78" s="43">
        <f t="shared" si="83"/>
        <v>-62.874994381668508</v>
      </c>
      <c r="AS78" t="str">
        <f t="shared" si="58"/>
        <v>-0,0000166666666666667</v>
      </c>
      <c r="AT78" t="str">
        <f t="shared" si="59"/>
        <v>3,80710207180036E-07i</v>
      </c>
      <c r="AU78">
        <f t="shared" si="84"/>
        <v>3.8071020718003599E-7</v>
      </c>
      <c r="AV78">
        <f t="shared" si="85"/>
        <v>1.5707963267948966</v>
      </c>
      <c r="AW78" t="str">
        <f t="shared" si="60"/>
        <v>1+0,00119316865738207i</v>
      </c>
      <c r="AX78">
        <f t="shared" si="86"/>
        <v>1.0000007118254692</v>
      </c>
      <c r="AY78">
        <f t="shared" si="87"/>
        <v>1.1931680911637928E-3</v>
      </c>
      <c r="AZ78" t="str">
        <f t="shared" si="61"/>
        <v>1+0,0825455771152508i</v>
      </c>
      <c r="BA78">
        <f t="shared" si="88"/>
        <v>1.003401102401871</v>
      </c>
      <c r="BB78">
        <f t="shared" si="89"/>
        <v>8.2358857625676393E-2</v>
      </c>
      <c r="BC78" s="41" t="str">
        <f t="shared" si="90"/>
        <v>-3,56142682396784+43,7820792186276i</v>
      </c>
      <c r="BD78">
        <f t="shared" si="91"/>
        <v>32.854569870363058</v>
      </c>
      <c r="BE78" s="43">
        <f t="shared" si="92"/>
        <v>94.650451451596723</v>
      </c>
      <c r="BF78" s="41" t="str">
        <f t="shared" si="93"/>
        <v>917,241999618245+562,24489027028i</v>
      </c>
      <c r="BG78" s="20">
        <f t="shared" si="94"/>
        <v>60.635030656773253</v>
      </c>
      <c r="BH78" s="43">
        <f t="shared" si="95"/>
        <v>31.507186798359026</v>
      </c>
      <c r="BI78" s="41" t="str">
        <f t="shared" si="101"/>
        <v>2889,26552852724+1789,70756380548i</v>
      </c>
      <c r="BJ78" s="20">
        <f t="shared" si="97"/>
        <v>70.626161420551796</v>
      </c>
      <c r="BK78" s="43">
        <f t="shared" si="102"/>
        <v>31.775457069928262</v>
      </c>
      <c r="BL78">
        <f t="shared" si="99"/>
        <v>60.635030656773253</v>
      </c>
      <c r="BM78" s="43">
        <f t="shared" si="100"/>
        <v>31.507186798359026</v>
      </c>
    </row>
    <row r="79" spans="1:65" x14ac:dyDescent="0.25">
      <c r="N79" s="9">
        <v>61</v>
      </c>
      <c r="O79" s="34">
        <f t="shared" si="62"/>
        <v>40.738027780411279</v>
      </c>
      <c r="P79" s="33" t="str">
        <f t="shared" si="50"/>
        <v>54,631621870174</v>
      </c>
      <c r="Q79" s="4" t="str">
        <f t="shared" si="63"/>
        <v>1+2,0403577113144i</v>
      </c>
      <c r="R79" s="4">
        <f t="shared" si="64"/>
        <v>2.2722366932430558</v>
      </c>
      <c r="S79" s="4">
        <f t="shared" si="65"/>
        <v>1.1150918634307248</v>
      </c>
      <c r="T79" s="4" t="str">
        <f t="shared" si="51"/>
        <v>1+0,00511929155186708i</v>
      </c>
      <c r="U79" s="4">
        <f t="shared" si="66"/>
        <v>1.0000131034871458</v>
      </c>
      <c r="V79" s="4">
        <f t="shared" si="67"/>
        <v>5.1192468318965734E-3</v>
      </c>
      <c r="W79" t="str">
        <f t="shared" si="52"/>
        <v>1-0,00101856978604297i</v>
      </c>
      <c r="X79" s="4">
        <f t="shared" si="68"/>
        <v>1.00000051874207</v>
      </c>
      <c r="Y79" s="4">
        <f t="shared" si="69"/>
        <v>-1.0185694337930984E-3</v>
      </c>
      <c r="Z79" t="str">
        <f t="shared" si="53"/>
        <v>0,999999993361652+0,00013994325036646i</v>
      </c>
      <c r="AA79" s="4">
        <f t="shared" si="70"/>
        <v>1.0000000031537086</v>
      </c>
      <c r="AB79" s="4">
        <f t="shared" si="71"/>
        <v>1.3994325038189717E-4</v>
      </c>
      <c r="AC79" s="47" t="str">
        <f t="shared" si="72"/>
        <v>10,6668219872256-21,5477487854033i</v>
      </c>
      <c r="AD79" s="20">
        <f t="shared" si="73"/>
        <v>27.619928793117165</v>
      </c>
      <c r="AE79" s="43">
        <f t="shared" si="74"/>
        <v>-63.663124193521213</v>
      </c>
      <c r="AF79" t="str">
        <f t="shared" si="54"/>
        <v>171,265703090588</v>
      </c>
      <c r="AG79" t="str">
        <f t="shared" si="55"/>
        <v>1+2,02083145244058i</v>
      </c>
      <c r="AH79">
        <f t="shared" si="75"/>
        <v>2.2547194413436684</v>
      </c>
      <c r="AI79">
        <f t="shared" si="76"/>
        <v>1.1112805556991672</v>
      </c>
      <c r="AJ79" t="str">
        <f t="shared" si="56"/>
        <v>1+0,00511929155186708i</v>
      </c>
      <c r="AK79">
        <f t="shared" si="77"/>
        <v>1.0000131034871458</v>
      </c>
      <c r="AL79">
        <f t="shared" si="78"/>
        <v>5.1192468318965734E-3</v>
      </c>
      <c r="AM79" t="str">
        <f t="shared" si="57"/>
        <v>1-0,000321801382174653i</v>
      </c>
      <c r="AN79">
        <f t="shared" si="79"/>
        <v>1.0000000517780634</v>
      </c>
      <c r="AO79">
        <f t="shared" si="80"/>
        <v>-3.2180137106648513E-4</v>
      </c>
      <c r="AP79" s="41" t="str">
        <f t="shared" si="81"/>
        <v>34,0154532370504-67,9178522434707i</v>
      </c>
      <c r="AQ79">
        <f t="shared" si="82"/>
        <v>37.611672109002214</v>
      </c>
      <c r="AR79" s="43">
        <f t="shared" si="83"/>
        <v>-63.396812319165342</v>
      </c>
      <c r="AS79" t="str">
        <f t="shared" si="58"/>
        <v>-0,0000166666666666667</v>
      </c>
      <c r="AT79" t="str">
        <f t="shared" si="59"/>
        <v>3,89578087097085E-07i</v>
      </c>
      <c r="AU79">
        <f t="shared" si="84"/>
        <v>3.8957808709708498E-7</v>
      </c>
      <c r="AV79">
        <f t="shared" si="85"/>
        <v>1.5707963267948966</v>
      </c>
      <c r="AW79" t="str">
        <f t="shared" si="60"/>
        <v>1+0,00122096112570811i</v>
      </c>
      <c r="AX79">
        <f t="shared" si="86"/>
        <v>1.0000007453727575</v>
      </c>
      <c r="AY79">
        <f t="shared" si="87"/>
        <v>1.2209605189943192E-3</v>
      </c>
      <c r="AZ79" t="str">
        <f t="shared" si="61"/>
        <v>1+0,0844683106058068i</v>
      </c>
      <c r="BA79">
        <f t="shared" si="88"/>
        <v>1.0035611070067427</v>
      </c>
      <c r="BB79">
        <f t="shared" si="89"/>
        <v>8.4268275391961578E-2</v>
      </c>
      <c r="BC79" s="41" t="str">
        <f t="shared" si="90"/>
        <v>-3,56142658501559+42,7856731315924i</v>
      </c>
      <c r="BD79">
        <f t="shared" si="91"/>
        <v>32.655954540122906</v>
      </c>
      <c r="BE79" s="43">
        <f t="shared" si="92"/>
        <v>94.758260642115033</v>
      </c>
      <c r="BF79" s="41" t="str">
        <f t="shared" si="93"/>
        <v>883,945832850998+533,12788426989i</v>
      </c>
      <c r="BG79" s="20">
        <f t="shared" si="94"/>
        <v>60.27588333324006</v>
      </c>
      <c r="BH79" s="43">
        <f t="shared" si="95"/>
        <v>31.095136448593845</v>
      </c>
      <c r="BI79" s="41" t="str">
        <f t="shared" si="101"/>
        <v>2784,76748642914+1697,25850820046i</v>
      </c>
      <c r="BJ79" s="20">
        <f t="shared" si="97"/>
        <v>70.26762664912512</v>
      </c>
      <c r="BK79" s="43">
        <f t="shared" si="102"/>
        <v>31.361448322949684</v>
      </c>
      <c r="BL79">
        <f t="shared" si="99"/>
        <v>60.27588333324006</v>
      </c>
      <c r="BM79" s="43">
        <f t="shared" si="100"/>
        <v>31.095136448593845</v>
      </c>
    </row>
    <row r="80" spans="1:65" x14ac:dyDescent="0.25">
      <c r="N80" s="9">
        <v>62</v>
      </c>
      <c r="O80" s="34">
        <f t="shared" si="62"/>
        <v>41.686938347033561</v>
      </c>
      <c r="P80" s="33" t="str">
        <f t="shared" si="50"/>
        <v>54,631621870174</v>
      </c>
      <c r="Q80" s="4" t="str">
        <f t="shared" si="63"/>
        <v>1+2,08788374773403i</v>
      </c>
      <c r="R80" s="4">
        <f t="shared" si="64"/>
        <v>2.3150072449242787</v>
      </c>
      <c r="S80" s="4">
        <f t="shared" si="65"/>
        <v>1.1241269346859322</v>
      </c>
      <c r="T80" s="4" t="str">
        <f t="shared" si="51"/>
        <v>1+0,00523853517046766i</v>
      </c>
      <c r="U80" s="4">
        <f t="shared" si="66"/>
        <v>1.0000137210312328</v>
      </c>
      <c r="V80" s="4">
        <f t="shared" si="67"/>
        <v>5.2384872521914431E-3</v>
      </c>
      <c r="W80" t="str">
        <f t="shared" si="52"/>
        <v>1-0,00104229532420668i</v>
      </c>
      <c r="X80" s="4">
        <f t="shared" si="68"/>
        <v>1.0000005431896239</v>
      </c>
      <c r="Y80" s="4">
        <f t="shared" si="69"/>
        <v>-1.0422949467641534E-3</v>
      </c>
      <c r="Z80" t="str">
        <f t="shared" si="53"/>
        <v>0,999999993048797+0,00014320294741699i</v>
      </c>
      <c r="AA80" s="4">
        <f t="shared" si="70"/>
        <v>1.0000000033023393</v>
      </c>
      <c r="AB80" s="4">
        <f t="shared" si="71"/>
        <v>1.4320294743353114E-4</v>
      </c>
      <c r="AC80" s="47" t="str">
        <f t="shared" si="72"/>
        <v>10,2802018659715-21,2424424658761i</v>
      </c>
      <c r="AD80" s="20">
        <f t="shared" si="73"/>
        <v>27.457958653420626</v>
      </c>
      <c r="AE80" s="43">
        <f t="shared" si="74"/>
        <v>-64.175509809857857</v>
      </c>
      <c r="AF80" t="str">
        <f t="shared" si="54"/>
        <v>171,265703090588</v>
      </c>
      <c r="AG80" t="str">
        <f t="shared" si="55"/>
        <v>1+2,06790266386299i</v>
      </c>
      <c r="AH80">
        <f t="shared" si="75"/>
        <v>2.2970027050945432</v>
      </c>
      <c r="AI80">
        <f t="shared" si="76"/>
        <v>1.1203693722671129</v>
      </c>
      <c r="AJ80" t="str">
        <f t="shared" si="56"/>
        <v>1+0,00523853517046766i</v>
      </c>
      <c r="AK80">
        <f t="shared" si="77"/>
        <v>1.0000137210312328</v>
      </c>
      <c r="AL80">
        <f t="shared" si="78"/>
        <v>5.2384872521914431E-3</v>
      </c>
      <c r="AM80" t="str">
        <f t="shared" si="57"/>
        <v>1-0,000329297099285584i</v>
      </c>
      <c r="AN80">
        <f t="shared" si="79"/>
        <v>1.0000000542182883</v>
      </c>
      <c r="AO80">
        <f t="shared" si="80"/>
        <v>-3.2929708738296771E-4</v>
      </c>
      <c r="AP80" s="41" t="str">
        <f t="shared" si="81"/>
        <v>32,7894991931468-66,9647086183415i</v>
      </c>
      <c r="AQ80">
        <f t="shared" si="82"/>
        <v>37.450297552272957</v>
      </c>
      <c r="AR80" s="43">
        <f t="shared" si="83"/>
        <v>-63.911160649356283</v>
      </c>
      <c r="AS80" t="str">
        <f t="shared" si="58"/>
        <v>-0,0000166666666666667</v>
      </c>
      <c r="AT80" t="str">
        <f t="shared" si="59"/>
        <v>3,98652526472588E-07i</v>
      </c>
      <c r="AU80">
        <f t="shared" si="84"/>
        <v>3.9865252647258799E-7</v>
      </c>
      <c r="AV80">
        <f t="shared" si="85"/>
        <v>1.5707963267948966</v>
      </c>
      <c r="AW80" t="str">
        <f t="shared" si="60"/>
        <v>1+0,00124940096378434i</v>
      </c>
      <c r="AX80">
        <f t="shared" si="86"/>
        <v>1.0000007805010795</v>
      </c>
      <c r="AY80">
        <f t="shared" si="87"/>
        <v>1.2494003136788278E-3</v>
      </c>
      <c r="AZ80" t="str">
        <f t="shared" si="61"/>
        <v>1+0,0864358303127164i</v>
      </c>
      <c r="BA80">
        <f t="shared" si="88"/>
        <v>1.0037286250585109</v>
      </c>
      <c r="BB80">
        <f t="shared" si="89"/>
        <v>8.6221531699417792E-2</v>
      </c>
      <c r="BC80" s="41" t="str">
        <f t="shared" si="90"/>
        <v>-3,56142633480192+41,8119525747594i</v>
      </c>
      <c r="BD80">
        <f t="shared" si="91"/>
        <v>32.457403994137998</v>
      </c>
      <c r="BE80" s="43">
        <f t="shared" si="92"/>
        <v>94.868544504633945</v>
      </c>
      <c r="BF80" s="41" t="str">
        <f t="shared" si="93"/>
        <v>851,575815302716+505,488706892439i</v>
      </c>
      <c r="BG80" s="20">
        <f t="shared" si="94"/>
        <v>59.915362647558624</v>
      </c>
      <c r="BH80" s="43">
        <f t="shared" si="95"/>
        <v>30.693034694776074</v>
      </c>
      <c r="BI80" s="41" t="str">
        <f t="shared" si="101"/>
        <v>2683,14783500124+1609,48286198966i</v>
      </c>
      <c r="BJ80" s="20">
        <f t="shared" si="97"/>
        <v>69.907701546410948</v>
      </c>
      <c r="BK80" s="43">
        <f t="shared" si="102"/>
        <v>30.957383855277595</v>
      </c>
      <c r="BL80">
        <f t="shared" si="99"/>
        <v>59.915362647558624</v>
      </c>
      <c r="BM80" s="43">
        <f t="shared" si="100"/>
        <v>30.693034694776074</v>
      </c>
    </row>
    <row r="81" spans="14:65" x14ac:dyDescent="0.25">
      <c r="N81" s="9">
        <v>63</v>
      </c>
      <c r="O81" s="34">
        <f t="shared" si="62"/>
        <v>42.657951880159267</v>
      </c>
      <c r="P81" s="33" t="str">
        <f t="shared" si="50"/>
        <v>54,631621870174</v>
      </c>
      <c r="Q81" s="4" t="str">
        <f t="shared" si="63"/>
        <v>1+2,13651680775311i</v>
      </c>
      <c r="R81" s="4">
        <f t="shared" si="64"/>
        <v>2.3589624986022013</v>
      </c>
      <c r="S81" s="4">
        <f t="shared" si="65"/>
        <v>1.1330325502951102</v>
      </c>
      <c r="T81" s="4" t="str">
        <f t="shared" si="51"/>
        <v>1+0,00536055632975582i</v>
      </c>
      <c r="U81" s="4">
        <f t="shared" si="66"/>
        <v>1.0000143676788671</v>
      </c>
      <c r="V81" s="4">
        <f t="shared" si="67"/>
        <v>5.360504984437622E-3</v>
      </c>
      <c r="W81" t="str">
        <f t="shared" si="52"/>
        <v>1-0,0010665735011477i</v>
      </c>
      <c r="X81" s="4">
        <f t="shared" si="68"/>
        <v>1.0000005687893549</v>
      </c>
      <c r="Y81" s="4">
        <f t="shared" si="69"/>
        <v>-1.0665730967107587E-3</v>
      </c>
      <c r="Z81" t="str">
        <f t="shared" si="53"/>
        <v>0,999999992721197+0,000146538572565755i</v>
      </c>
      <c r="AA81" s="4">
        <f t="shared" si="70"/>
        <v>1.0000000034579737</v>
      </c>
      <c r="AB81" s="4">
        <f t="shared" si="71"/>
        <v>1.4653857258347912E-4</v>
      </c>
      <c r="AC81" s="47" t="str">
        <f t="shared" si="72"/>
        <v>9,90458116677755-20,9347225792976i</v>
      </c>
      <c r="AD81" s="20">
        <f t="shared" si="73"/>
        <v>27.294590845432403</v>
      </c>
      <c r="AE81" s="43">
        <f t="shared" si="74"/>
        <v>-64.680355049915491</v>
      </c>
      <c r="AF81" t="str">
        <f t="shared" si="54"/>
        <v>171,265703090588</v>
      </c>
      <c r="AG81" t="str">
        <f t="shared" si="55"/>
        <v>1+2,1160703046497i</v>
      </c>
      <c r="AH81">
        <f t="shared" si="75"/>
        <v>2.3404601116490475</v>
      </c>
      <c r="AI81">
        <f t="shared" si="76"/>
        <v>1.1293291747463605</v>
      </c>
      <c r="AJ81" t="str">
        <f t="shared" si="56"/>
        <v>1+0,00536055632975582i</v>
      </c>
      <c r="AK81">
        <f t="shared" si="77"/>
        <v>1.0000143676788671</v>
      </c>
      <c r="AL81">
        <f t="shared" si="78"/>
        <v>5.360504984437622E-3</v>
      </c>
      <c r="AM81" t="str">
        <f t="shared" si="57"/>
        <v>1-0,000336967414077317i</v>
      </c>
      <c r="AN81">
        <f t="shared" si="79"/>
        <v>1.0000000567735174</v>
      </c>
      <c r="AO81">
        <f t="shared" si="80"/>
        <v>-3.3696740132343393E-4</v>
      </c>
      <c r="AP81" s="41" t="str">
        <f t="shared" si="81"/>
        <v>31,5981015903673-66,003435970999i</v>
      </c>
      <c r="AQ81">
        <f t="shared" si="82"/>
        <v>37.287508446729284</v>
      </c>
      <c r="AR81" s="43">
        <f t="shared" si="83"/>
        <v>-64.417967892220915</v>
      </c>
      <c r="AS81" t="str">
        <f t="shared" si="58"/>
        <v>-0,0000166666666666667</v>
      </c>
      <c r="AT81" t="str">
        <f t="shared" si="59"/>
        <v>4,07938336694417E-07i</v>
      </c>
      <c r="AU81">
        <f t="shared" si="84"/>
        <v>4.0793833669441702E-7</v>
      </c>
      <c r="AV81">
        <f t="shared" si="85"/>
        <v>1.5707963267948966</v>
      </c>
      <c r="AW81" t="str">
        <f t="shared" si="60"/>
        <v>1+0,00127850325078933i</v>
      </c>
      <c r="AX81">
        <f t="shared" si="86"/>
        <v>1.0000008172849471</v>
      </c>
      <c r="AY81">
        <f t="shared" si="87"/>
        <v>1.2785025541887539E-3</v>
      </c>
      <c r="AZ81" t="str">
        <f t="shared" si="61"/>
        <v>1+0,088449179440971i</v>
      </c>
      <c r="BA81">
        <f t="shared" si="88"/>
        <v>1.0039040080325314</v>
      </c>
      <c r="BB81">
        <f t="shared" si="89"/>
        <v>8.8219602540614478E-2</v>
      </c>
      <c r="BC81" s="41" t="str">
        <f t="shared" si="90"/>
        <v>-3,56142607279607+40,8604012685988i</v>
      </c>
      <c r="BD81">
        <f t="shared" si="91"/>
        <v>32.258921240287378</v>
      </c>
      <c r="BE81" s="43">
        <f t="shared" si="92"/>
        <v>94.981358095447064</v>
      </c>
      <c r="BF81" s="41" t="str">
        <f t="shared" si="93"/>
        <v>820,126731429409+479,2626276926i</v>
      </c>
      <c r="BG81" s="20">
        <f t="shared" si="94"/>
        <v>59.553512085719774</v>
      </c>
      <c r="BH81" s="43">
        <f t="shared" si="95"/>
        <v>30.301003045531587</v>
      </c>
      <c r="BI81" s="41" t="str">
        <f t="shared" si="101"/>
        <v>2584,39257602649+1526,1774680696i</v>
      </c>
      <c r="BJ81" s="20">
        <f t="shared" si="97"/>
        <v>69.546429687016655</v>
      </c>
      <c r="BK81" s="43">
        <f t="shared" si="102"/>
        <v>30.563390203226206</v>
      </c>
      <c r="BL81">
        <f t="shared" si="99"/>
        <v>59.553512085719774</v>
      </c>
      <c r="BM81" s="43">
        <f t="shared" si="100"/>
        <v>30.301003045531587</v>
      </c>
    </row>
    <row r="82" spans="14:65" x14ac:dyDescent="0.25">
      <c r="N82" s="9">
        <v>64</v>
      </c>
      <c r="O82" s="34">
        <f t="shared" si="62"/>
        <v>43.651583224016633</v>
      </c>
      <c r="P82" s="33" t="str">
        <f t="shared" si="50"/>
        <v>54,631621870174</v>
      </c>
      <c r="Q82" s="4" t="str">
        <f t="shared" si="63"/>
        <v>1+2,1862826772638i</v>
      </c>
      <c r="R82" s="4">
        <f t="shared" si="64"/>
        <v>2.4041281049278074</v>
      </c>
      <c r="S82" s="4">
        <f t="shared" si="65"/>
        <v>1.1418077806948734</v>
      </c>
      <c r="T82" s="4" t="str">
        <f t="shared" si="51"/>
        <v>1+0,00548541972696536i</v>
      </c>
      <c r="U82" s="4">
        <f t="shared" si="66"/>
        <v>1.0000150448016174</v>
      </c>
      <c r="V82" s="4">
        <f t="shared" si="67"/>
        <v>5.4853647095103814E-3</v>
      </c>
      <c r="W82" t="str">
        <f t="shared" si="52"/>
        <v>1-0,00109141718947678i</v>
      </c>
      <c r="X82" s="4">
        <f t="shared" si="68"/>
        <v>1.0000005955955633</v>
      </c>
      <c r="Y82" s="4">
        <f t="shared" si="69"/>
        <v>-1.0914167561148036E-3</v>
      </c>
      <c r="Z82" t="str">
        <f t="shared" si="53"/>
        <v>0,999999992378157+0,000149951894405361i</v>
      </c>
      <c r="AA82" s="4">
        <f t="shared" si="70"/>
        <v>1.0000000036209422</v>
      </c>
      <c r="AB82" s="4">
        <f t="shared" si="71"/>
        <v>1.4995189442435283E-4</v>
      </c>
      <c r="AC82" s="47" t="str">
        <f t="shared" si="72"/>
        <v>9,53987843627786-20,6250116510599i</v>
      </c>
      <c r="AD82" s="20">
        <f t="shared" si="73"/>
        <v>27.129865583776688</v>
      </c>
      <c r="AE82" s="43">
        <f t="shared" si="74"/>
        <v>-65.177603786566095</v>
      </c>
      <c r="AF82" t="str">
        <f t="shared" si="54"/>
        <v>171,265703090588</v>
      </c>
      <c r="AG82" t="str">
        <f t="shared" si="55"/>
        <v>1+2,16535991392144i</v>
      </c>
      <c r="AH82">
        <f t="shared" si="75"/>
        <v>2.3851170949909077</v>
      </c>
      <c r="AI82">
        <f t="shared" si="76"/>
        <v>1.138158958543241</v>
      </c>
      <c r="AJ82" t="str">
        <f t="shared" si="56"/>
        <v>1+0,00548541972696536i</v>
      </c>
      <c r="AK82">
        <f t="shared" si="77"/>
        <v>1.0000150448016174</v>
      </c>
      <c r="AL82">
        <f t="shared" si="78"/>
        <v>5.4853647095103814E-3</v>
      </c>
      <c r="AM82" t="str">
        <f t="shared" si="57"/>
        <v>1-0,000344816393452286i</v>
      </c>
      <c r="AN82">
        <f t="shared" si="79"/>
        <v>1.0000000594491709</v>
      </c>
      <c r="AO82">
        <f t="shared" si="80"/>
        <v>-3.4481637978625411E-4</v>
      </c>
      <c r="AP82" s="41" t="str">
        <f t="shared" si="81"/>
        <v>30,4410297484322-65,0353765115211i</v>
      </c>
      <c r="AQ82">
        <f t="shared" si="82"/>
        <v>37.123345125374563</v>
      </c>
      <c r="AR82" s="43">
        <f t="shared" si="83"/>
        <v>-64.917173015856676</v>
      </c>
      <c r="AS82" t="str">
        <f t="shared" si="58"/>
        <v>-0,0000166666666666667</v>
      </c>
      <c r="AT82" t="str">
        <f t="shared" si="59"/>
        <v>4,17440441222064E-07i</v>
      </c>
      <c r="AU82">
        <f t="shared" si="84"/>
        <v>4.17440441222064E-7</v>
      </c>
      <c r="AV82">
        <f t="shared" si="85"/>
        <v>1.5707963267948966</v>
      </c>
      <c r="AW82" t="str">
        <f t="shared" si="60"/>
        <v>1+0,00130828341714088i</v>
      </c>
      <c r="AX82">
        <f t="shared" si="86"/>
        <v>1.0000008558023836</v>
      </c>
      <c r="AY82">
        <f t="shared" si="87"/>
        <v>1.3082826707199492E-3</v>
      </c>
      <c r="AZ82" t="str">
        <f t="shared" si="61"/>
        <v>1+0,0905094254949284i</v>
      </c>
      <c r="BA82">
        <f t="shared" si="88"/>
        <v>1.0040876237178815</v>
      </c>
      <c r="BB82">
        <f t="shared" si="89"/>
        <v>9.0263483468793163E-2</v>
      </c>
      <c r="BC82" s="41" t="str">
        <f t="shared" si="90"/>
        <v>-3,56142579844229+39,9305146880102i</v>
      </c>
      <c r="BD82">
        <f t="shared" si="91"/>
        <v>32.060509423886543</v>
      </c>
      <c r="BE82" s="43">
        <f t="shared" si="92"/>
        <v>95.096757571468359</v>
      </c>
      <c r="BF82" s="41" t="str">
        <f t="shared" si="93"/>
        <v>789,591761496065+454,386704608882i</v>
      </c>
      <c r="BG82" s="20">
        <f t="shared" si="94"/>
        <v>59.190375007663228</v>
      </c>
      <c r="BH82" s="43">
        <f t="shared" si="95"/>
        <v>29.919153784902271</v>
      </c>
      <c r="BI82" s="41" t="str">
        <f t="shared" si="101"/>
        <v>2488,48258835635+1447,14465320747i</v>
      </c>
      <c r="BJ82" s="20">
        <f t="shared" si="97"/>
        <v>69.183854549261113</v>
      </c>
      <c r="BK82" s="43">
        <f t="shared" si="102"/>
        <v>30.179584555611761</v>
      </c>
      <c r="BL82">
        <f t="shared" si="99"/>
        <v>59.190375007663228</v>
      </c>
      <c r="BM82" s="43">
        <f t="shared" si="100"/>
        <v>29.919153784902271</v>
      </c>
    </row>
    <row r="83" spans="14:65" x14ac:dyDescent="0.25">
      <c r="N83" s="9">
        <v>65</v>
      </c>
      <c r="O83" s="34">
        <f t="shared" si="62"/>
        <v>44.668359215096324</v>
      </c>
      <c r="P83" s="33" t="str">
        <f t="shared" ref="P83:P146" si="103">COMPLEX(Adc,0)</f>
        <v>54,631621870174</v>
      </c>
      <c r="Q83" s="4" t="str">
        <f t="shared" ref="Q83:Q146" si="104">IMSUM(COMPLEX(1,0),IMDIV(COMPLEX(0,2*PI()*O83),COMPLEX(wp_lf,0)))</f>
        <v>1+2,23720774278885i</v>
      </c>
      <c r="R83" s="4">
        <f t="shared" si="64"/>
        <v>2.4505302455579656</v>
      </c>
      <c r="S83" s="4">
        <f t="shared" si="65"/>
        <v>1.1504518717356007</v>
      </c>
      <c r="T83" s="4" t="str">
        <f t="shared" ref="T83:T146" si="105">IMSUM(COMPLEX(1,0),IMDIV(COMPLEX(0,2*PI()*O83),COMPLEX(wz_esr,0)))</f>
        <v>1+0,00561319156632226i</v>
      </c>
      <c r="U83" s="4">
        <f t="shared" si="66"/>
        <v>1.0000157538356884</v>
      </c>
      <c r="V83" s="4">
        <f t="shared" si="67"/>
        <v>5.613132614107284E-3</v>
      </c>
      <c r="W83" t="str">
        <f t="shared" ref="W83:W146" si="106">IMSUB(COMPLEX(1,0),IMDIV(COMPLEX(0,2*PI()*O83),COMPLEX(wz_rhp,0)))</f>
        <v>1-0,00111683956164635i</v>
      </c>
      <c r="X83" s="4">
        <f t="shared" si="68"/>
        <v>1.0000006236651087</v>
      </c>
      <c r="Y83" s="4">
        <f t="shared" si="69"/>
        <v>-1.1168390972906416E-3</v>
      </c>
      <c r="Z83" t="str">
        <f t="shared" ref="Z83:Z146" si="107">IMSUM(COMPLEX(1,0),IMDIV(COMPLEX(0,2*PI()*O83),COMPLEX(Q*(wsl/2),0)),IMDIV(IMPOWER(COMPLEX(0,2*PI()*O83),2),IMPOWER(COMPLEX(wsl/2,0),2)))</f>
        <v>0,999999992018951+0,00015344472272423i</v>
      </c>
      <c r="AA83" s="4">
        <f t="shared" si="70"/>
        <v>1.0000000037915924</v>
      </c>
      <c r="AB83" s="4">
        <f t="shared" si="71"/>
        <v>1.5344472274458003E-4</v>
      </c>
      <c r="AC83" s="47" t="str">
        <f t="shared" si="72"/>
        <v>9,18599441450599-20,3137178172157i</v>
      </c>
      <c r="AD83" s="20">
        <f t="shared" si="73"/>
        <v>26.963822751817798</v>
      </c>
      <c r="AE83" s="43">
        <f t="shared" si="74"/>
        <v>-65.667209876412031</v>
      </c>
      <c r="AF83" t="str">
        <f t="shared" ref="AF83:AF146" si="108">COMPLEX($B$72,0)</f>
        <v>171,265703090588</v>
      </c>
      <c r="AG83" t="str">
        <f t="shared" ref="AG83:AG146" si="109">IMSUM(COMPLEX(1,0),IMDIV(COMPLEX(0,2*PI()*O83),COMPLEX(wp_lf_DCM,0)))</f>
        <v>1+2,21579762568146i</v>
      </c>
      <c r="AH83">
        <f t="shared" si="75"/>
        <v>2.4309996129114455</v>
      </c>
      <c r="AI83">
        <f t="shared" si="76"/>
        <v>1.1468578969914411</v>
      </c>
      <c r="AJ83" t="str">
        <f t="shared" ref="AJ83:AJ146" si="110">IMSUM(COMPLEX(1,0),IMDIV(COMPLEX(0,2*PI()*O83),COMPLEX(wz1_dcm,0)))</f>
        <v>1+0,00561319156632226i</v>
      </c>
      <c r="AK83">
        <f t="shared" si="77"/>
        <v>1.0000157538356884</v>
      </c>
      <c r="AL83">
        <f t="shared" si="78"/>
        <v>5.613132614107284E-3</v>
      </c>
      <c r="AM83" t="str">
        <f t="shared" ref="AM83:AM146" si="111">IMSUB(COMPLEX(1,0),IMDIV(COMPLEX(0,2*PI()*O83),COMPLEX(wz2_dcm,0)))</f>
        <v>1-0,000352848199043247i</v>
      </c>
      <c r="AN83">
        <f t="shared" si="79"/>
        <v>1.0000000622509237</v>
      </c>
      <c r="AO83">
        <f t="shared" si="80"/>
        <v>-3.5284818439983005E-4</v>
      </c>
      <c r="AP83" s="41" t="str">
        <f t="shared" si="81"/>
        <v>29,3179954162594-64,0618282277927i</v>
      </c>
      <c r="AQ83">
        <f t="shared" si="82"/>
        <v>36.957847617642869</v>
      </c>
      <c r="AR83" s="43">
        <f t="shared" si="83"/>
        <v>-65.408725101998314</v>
      </c>
      <c r="AS83" t="str">
        <f t="shared" ref="AS83:AS146" si="112">COMPLEX(Adc_ea,0)</f>
        <v>-0,0000166666666666667</v>
      </c>
      <c r="AT83" t="str">
        <f t="shared" ref="AT83:AT146" si="113">COMPLEX(0,2*PI()*O83*wp0_ea)</f>
        <v>4,27163878197124E-07i</v>
      </c>
      <c r="AU83">
        <f t="shared" si="84"/>
        <v>4.27163878197124E-7</v>
      </c>
      <c r="AV83">
        <f t="shared" si="85"/>
        <v>1.5707963267948966</v>
      </c>
      <c r="AW83" t="str">
        <f t="shared" ref="AW83:AW146" si="114">IMSUM(COMPLEX(1,0),IMDIV(COMPLEX(0,2*PI()*O83),COMPLEX(wp1_ea,0)))</f>
        <v>1+0,00133875725267738i</v>
      </c>
      <c r="AX83">
        <f t="shared" si="86"/>
        <v>1.0000008961350892</v>
      </c>
      <c r="AY83">
        <f t="shared" si="87"/>
        <v>1.3387564528729817E-3</v>
      </c>
      <c r="AZ83" t="str">
        <f t="shared" ref="AZ83:AZ146" si="115">IMSUM(COMPLEX(1,0),IMDIV(COMPLEX(0,2*PI()*O83),COMPLEX(wz_ea,0)))</f>
        <v>1+0,0926176608443173i</v>
      </c>
      <c r="BA83">
        <f t="shared" si="88"/>
        <v>1.0042798569623275</v>
      </c>
      <c r="BB83">
        <f t="shared" si="89"/>
        <v>9.2354189833191727E-2</v>
      </c>
      <c r="BC83" s="41" t="str">
        <f t="shared" si="90"/>
        <v>-3,56142551115869+39,0217997948186i</v>
      </c>
      <c r="BD83">
        <f t="shared" si="91"/>
        <v>31.862171833755681</v>
      </c>
      <c r="BE83" s="43">
        <f t="shared" si="92"/>
        <v>95.214800203246369</v>
      </c>
      <c r="BF83" s="41" t="str">
        <f t="shared" si="93"/>
        <v>759,962594898648+430,799827819885i</v>
      </c>
      <c r="BG83" s="20">
        <f t="shared" si="94"/>
        <v>58.825994585573476</v>
      </c>
      <c r="BH83" s="43">
        <f t="shared" si="95"/>
        <v>29.547590326834314</v>
      </c>
      <c r="BI83" s="41" t="str">
        <f t="shared" si="101"/>
        <v>2395,39397878349+1372,19237686061i</v>
      </c>
      <c r="BJ83" s="20">
        <f t="shared" si="97"/>
        <v>68.820019451398565</v>
      </c>
      <c r="BK83" s="43">
        <f t="shared" si="102"/>
        <v>29.806075101248009</v>
      </c>
      <c r="BL83">
        <f t="shared" si="99"/>
        <v>58.825994585573476</v>
      </c>
      <c r="BM83" s="43">
        <f t="shared" si="100"/>
        <v>29.547590326834314</v>
      </c>
    </row>
    <row r="84" spans="14:65" x14ac:dyDescent="0.25">
      <c r="N84" s="9">
        <v>66</v>
      </c>
      <c r="O84" s="34">
        <f t="shared" ref="O84:O118" si="116">10^(1+(N84/100))</f>
        <v>45.70881896148753</v>
      </c>
      <c r="P84" s="33" t="str">
        <f t="shared" si="103"/>
        <v>54,631621870174</v>
      </c>
      <c r="Q84" s="4" t="str">
        <f t="shared" si="104"/>
        <v>1+2,28931900547208i</v>
      </c>
      <c r="R84" s="4">
        <f t="shared" ref="R84:R147" si="117">IMABS(Q84)</f>
        <v>2.4981956506278031</v>
      </c>
      <c r="S84" s="4">
        <f t="shared" ref="S84:S147" si="118">IMARGUMENT(Q84)</f>
        <v>1.1589642384783949</v>
      </c>
      <c r="T84" s="4" t="str">
        <f t="shared" si="105"/>
        <v>1+0,005743939594147i</v>
      </c>
      <c r="U84" s="4">
        <f t="shared" ref="U84:U147" si="119">IMABS(T84)</f>
        <v>1.0000164962849669</v>
      </c>
      <c r="V84" s="4">
        <f t="shared" ref="V84:V147" si="120">IMARGUMENT(T84)</f>
        <v>5.7438764257668447E-3</v>
      </c>
      <c r="W84" t="str">
        <f t="shared" si="106"/>
        <v>1-0,00114285409693462i</v>
      </c>
      <c r="X84" s="4">
        <f t="shared" ref="X84:X147" si="121">IMABS(W84)</f>
        <v>1.0000006530575303</v>
      </c>
      <c r="Y84" s="4">
        <f t="shared" ref="Y84:Y147" si="122">IMARGUMENT(W84)</f>
        <v>-1.1428535993685315E-3</v>
      </c>
      <c r="Z84" t="str">
        <f t="shared" si="107"/>
        <v>0,999999991642816+0,000157018909466168i</v>
      </c>
      <c r="AA84" s="4">
        <f t="shared" ref="AA84:AA147" si="123">IMABS(Z84)</f>
        <v>1.000000003970285</v>
      </c>
      <c r="AB84" s="4">
        <f t="shared" ref="AB84:AB147" si="124">IMARGUMENT(Z84)</f>
        <v>1.5701890948797341E-4</v>
      </c>
      <c r="AC84" s="47" t="str">
        <f t="shared" ref="AC84:AC147" si="125">(IMDIV(IMPRODUCT(P84,T84,W84),IMPRODUCT(Q84,Z84)))</f>
        <v>8,84281338754088-20,0012342448927i</v>
      </c>
      <c r="AD84" s="20">
        <f t="shared" ref="AD84:AD147" si="126">20*LOG(IMABS(AC84))</f>
        <v>26.796501838855612</v>
      </c>
      <c r="AE84" s="43">
        <f t="shared" ref="AE84:AE147" si="127">(180/PI())*IMARGUMENT(AC84)</f>
        <v>-66.149136802826931</v>
      </c>
      <c r="AF84" t="str">
        <f t="shared" si="108"/>
        <v>171,265703090588</v>
      </c>
      <c r="AG84" t="str">
        <f t="shared" si="109"/>
        <v>1+2,26741018267217i</v>
      </c>
      <c r="AH84">
        <f t="shared" ref="AH84:AH147" si="128">IMABS(AG84)</f>
        <v>2.4781341643432957</v>
      </c>
      <c r="AI84">
        <f t="shared" ref="AI84:AI147" si="129">IMARGUMENT(AG84)</f>
        <v>1.1554253352554973</v>
      </c>
      <c r="AJ84" t="str">
        <f t="shared" si="110"/>
        <v>1+0,005743939594147i</v>
      </c>
      <c r="AK84">
        <f t="shared" ref="AK84:AK147" si="130">IMABS(AJ84)</f>
        <v>1.0000164962849669</v>
      </c>
      <c r="AL84">
        <f t="shared" ref="AL84:AL147" si="131">IMARGUMENT(AJ84)</f>
        <v>5.7438764257668447E-3</v>
      </c>
      <c r="AM84" t="str">
        <f t="shared" si="111"/>
        <v>1-0,00036106708941984i</v>
      </c>
      <c r="AN84">
        <f t="shared" ref="AN84:AN147" si="132">IMABS(AM84)</f>
        <v>1.0000000651847194</v>
      </c>
      <c r="AO84">
        <f t="shared" ref="AO84:AO147" si="133">IMARGUMENT(AM84)</f>
        <v>-3.610670737291361E-4</v>
      </c>
      <c r="AP84" s="41" t="str">
        <f t="shared" ref="AP84:AP147" si="134">(IMDIV(IMPRODUCT(AF84,AJ84,AM84),IMPRODUCT(AG84)))</f>
        <v>28,2286570154109-63,0840429157338i</v>
      </c>
      <c r="AQ84">
        <f t="shared" ref="AQ84:AQ147" si="135">20*LOG(IMABS(AP84))</f>
        <v>36.791055584519611</v>
      </c>
      <c r="AR84" s="43">
        <f t="shared" ref="AR84:AR147" si="136">(180/PI())*IMARGUMENT(AP84)</f>
        <v>-65.892582994832892</v>
      </c>
      <c r="AS84" t="str">
        <f t="shared" si="112"/>
        <v>-0,0000166666666666667</v>
      </c>
      <c r="AT84" t="str">
        <f t="shared" si="113"/>
        <v>4,37113803114587E-07i</v>
      </c>
      <c r="AU84">
        <f t="shared" ref="AU84:AU147" si="137">IMABS(AT84)</f>
        <v>4.3711380311458699E-7</v>
      </c>
      <c r="AV84">
        <f t="shared" ref="AV84:AV147" si="138">IMARGUMENT(AT84)</f>
        <v>1.5707963267948966</v>
      </c>
      <c r="AW84" t="str">
        <f t="shared" si="114"/>
        <v>1+0,0013699409150298i</v>
      </c>
      <c r="AX84">
        <f t="shared" ref="AX84:AX147" si="139">IMABS(AW84)</f>
        <v>1.000000938368615</v>
      </c>
      <c r="AY84">
        <f t="shared" ref="AY84:AY147" si="140">IMARGUMENT(AW84)</f>
        <v>1.3699400580239902E-3</v>
      </c>
      <c r="AZ84" t="str">
        <f t="shared" si="115"/>
        <v>1+0,0947750033034255i</v>
      </c>
      <c r="BA84">
        <f t="shared" ref="BA84:BA147" si="141">IMABS(AZ84)</f>
        <v>1.004481110450149</v>
      </c>
      <c r="BB84">
        <f t="shared" ref="BB84:BB147" si="142">IMARGUMENT(AZ84)</f>
        <v>9.4492757004887878E-2</v>
      </c>
      <c r="BC84" s="41" t="str">
        <f t="shared" ref="BC84:BC147" si="143">IMPRODUCT(AS84,IMDIV(AZ84,IMPRODUCT(AT84,AW84)))</f>
        <v>-3,56142521033586+38,1337747763562i</v>
      </c>
      <c r="BD84">
        <f t="shared" ref="BD84:BD147" si="144">20*LOG(IMABS(BC84))</f>
        <v>31.663911908534441</v>
      </c>
      <c r="BE84" s="43">
        <f t="shared" ref="BE84:BE147" si="145">(180/PI())*IMARGUMENT(BC84)</f>
        <v>95.335544387424648</v>
      </c>
      <c r="BF84" s="41" t="str">
        <f t="shared" ref="BF84:BF147" si="146">IMPRODUCT(AC84,BC84)</f>
        <v>731,229543415197+408,442753987425i</v>
      </c>
      <c r="BG84" s="20">
        <f t="shared" ref="BG84:BG147" si="147">20*LOG(IMABS(BF84))</f>
        <v>58.460413747390049</v>
      </c>
      <c r="BH84" s="43">
        <f t="shared" ref="BH84:BH147" si="148">(180/PI())*IMARGUMENT(BF84)</f>
        <v>29.186407584597731</v>
      </c>
      <c r="BI84" s="41" t="str">
        <f t="shared" si="101"/>
        <v>2305,09843378197+1301,13434967469i</v>
      </c>
      <c r="BJ84" s="20">
        <f t="shared" ref="BJ84:BJ147" si="149">20*LOG(IMABS(BI84))</f>
        <v>68.454967493054042</v>
      </c>
      <c r="BK84" s="43">
        <f t="shared" si="102"/>
        <v>29.442961392591791</v>
      </c>
      <c r="BL84">
        <f t="shared" ref="BL84:BL147" si="150">IF($B$31=0,BJ84,BG84)</f>
        <v>58.460413747390049</v>
      </c>
      <c r="BM84" s="43">
        <f t="shared" ref="BM84:BM147" si="151">IF($B$31=0,BK84,BH84)</f>
        <v>29.186407584597731</v>
      </c>
    </row>
    <row r="85" spans="14:65" x14ac:dyDescent="0.25">
      <c r="N85" s="9">
        <v>67</v>
      </c>
      <c r="O85" s="34">
        <f t="shared" si="116"/>
        <v>46.773514128719818</v>
      </c>
      <c r="P85" s="33" t="str">
        <f t="shared" si="103"/>
        <v>54,631621870174</v>
      </c>
      <c r="Q85" s="4" t="str">
        <f t="shared" si="104"/>
        <v>1+2,34264409539472i</v>
      </c>
      <c r="R85" s="4">
        <f t="shared" si="117"/>
        <v>2.5471516165489136</v>
      </c>
      <c r="S85" s="4">
        <f t="shared" si="118"/>
        <v>1.1673444587714665</v>
      </c>
      <c r="T85" s="4" t="str">
        <f t="shared" si="105"/>
        <v>1+0,00587773313477458i</v>
      </c>
      <c r="U85" s="4">
        <f t="shared" si="119"/>
        <v>1.000017273724211</v>
      </c>
      <c r="V85" s="4">
        <f t="shared" si="120"/>
        <v>5.8776654486989086E-3</v>
      </c>
      <c r="W85" t="str">
        <f t="shared" si="106"/>
        <v>1-0,00116947458859254i</v>
      </c>
      <c r="X85" s="4">
        <f t="shared" si="121"/>
        <v>1.0000006838351727</v>
      </c>
      <c r="Y85" s="4">
        <f t="shared" si="122"/>
        <v>-1.1694740554408902E-3</v>
      </c>
      <c r="Z85" t="str">
        <f t="shared" si="107"/>
        <v>0,999999991248954+0,000160676349712296i</v>
      </c>
      <c r="AA85" s="4">
        <f t="shared" si="123"/>
        <v>1.0000000041573986</v>
      </c>
      <c r="AB85" s="4">
        <f t="shared" si="124"/>
        <v>1.6067634973566093E-4</v>
      </c>
      <c r="AC85" s="47" t="str">
        <f t="shared" si="125"/>
        <v>8,51020452992952-19,6879386663152i</v>
      </c>
      <c r="AD85" s="20">
        <f t="shared" si="126"/>
        <v>26.627941882267582</v>
      </c>
      <c r="AE85" s="43">
        <f t="shared" si="127"/>
        <v>-66.623357306322276</v>
      </c>
      <c r="AF85" t="str">
        <f t="shared" si="108"/>
        <v>171,265703090588</v>
      </c>
      <c r="AG85" t="str">
        <f t="shared" si="109"/>
        <v>1+2,32022495055446i</v>
      </c>
      <c r="AH85">
        <f t="shared" si="128"/>
        <v>2.5265478070235372</v>
      </c>
      <c r="AI85">
        <f t="shared" si="129"/>
        <v>1.1638607839934652</v>
      </c>
      <c r="AJ85" t="str">
        <f t="shared" si="110"/>
        <v>1+0,00587773313477458i</v>
      </c>
      <c r="AK85">
        <f t="shared" si="130"/>
        <v>1.000017273724211</v>
      </c>
      <c r="AL85">
        <f t="shared" si="131"/>
        <v>5.8776654486989086E-3</v>
      </c>
      <c r="AM85" t="str">
        <f t="shared" si="111"/>
        <v>1-0,00036947742234653i</v>
      </c>
      <c r="AN85">
        <f t="shared" si="132"/>
        <v>1.0000000682567804</v>
      </c>
      <c r="AO85">
        <f t="shared" si="133"/>
        <v>-3.6947740553363792E-4</v>
      </c>
      <c r="AP85" s="41" t="str">
        <f t="shared" si="134"/>
        <v>27,172623863423-62,1032245725537i</v>
      </c>
      <c r="AQ85">
        <f t="shared" si="135"/>
        <v>36.623008258621951</v>
      </c>
      <c r="AR85" s="43">
        <f t="shared" si="136"/>
        <v>-66.368714935974879</v>
      </c>
      <c r="AS85" t="str">
        <f t="shared" si="112"/>
        <v>-0,0000166666666666667</v>
      </c>
      <c r="AT85" t="str">
        <f t="shared" si="113"/>
        <v>4,47295491556346E-07i</v>
      </c>
      <c r="AU85">
        <f t="shared" si="137"/>
        <v>4.47295491556346E-7</v>
      </c>
      <c r="AV85">
        <f t="shared" si="138"/>
        <v>1.5707963267948966</v>
      </c>
      <c r="AW85" t="str">
        <f t="shared" si="114"/>
        <v>1+0,00140185093818868i</v>
      </c>
      <c r="AX85">
        <f t="shared" si="139"/>
        <v>1.0000009825925438</v>
      </c>
      <c r="AY85">
        <f t="shared" si="140"/>
        <v>1.4018500198904587E-3</v>
      </c>
      <c r="AZ85" t="str">
        <f t="shared" si="115"/>
        <v>1+0,0969825967237806i</v>
      </c>
      <c r="BA85">
        <f t="shared" si="141"/>
        <v>1.0046918055141525</v>
      </c>
      <c r="BB85">
        <f t="shared" si="142"/>
        <v>9.6680240591967337E-2</v>
      </c>
      <c r="BC85" s="41" t="str">
        <f t="shared" si="143"/>
        <v>-3,56142489533574+37,2659687900019i</v>
      </c>
      <c r="BD85">
        <f t="shared" si="144"/>
        <v>31.465733243253684</v>
      </c>
      <c r="BE85" s="43">
        <f t="shared" si="145"/>
        <v>95.459049658579033</v>
      </c>
      <c r="BF85" s="41" t="str">
        <f t="shared" si="146"/>
        <v>703,381653601084+387,258131312944i</v>
      </c>
      <c r="BG85" s="20">
        <f t="shared" si="147"/>
        <v>58.093675125521258</v>
      </c>
      <c r="BH85" s="43">
        <f t="shared" si="148"/>
        <v>28.835692352256736</v>
      </c>
      <c r="BI85" s="41" t="str">
        <f t="shared" si="101"/>
        <v>2217,56356958048+1233,7901229101i</v>
      </c>
      <c r="BJ85" s="20">
        <f t="shared" si="149"/>
        <v>68.088741501875646</v>
      </c>
      <c r="BK85" s="43">
        <f t="shared" si="102"/>
        <v>29.090334722604105</v>
      </c>
      <c r="BL85">
        <f t="shared" si="150"/>
        <v>58.093675125521258</v>
      </c>
      <c r="BM85" s="43">
        <f t="shared" si="151"/>
        <v>28.835692352256736</v>
      </c>
    </row>
    <row r="86" spans="14:65" x14ac:dyDescent="0.25">
      <c r="N86" s="9">
        <v>68</v>
      </c>
      <c r="O86" s="34">
        <f t="shared" si="116"/>
        <v>47.863009232263877</v>
      </c>
      <c r="P86" s="33" t="str">
        <f t="shared" si="103"/>
        <v>54,631621870174</v>
      </c>
      <c r="Q86" s="4" t="str">
        <f t="shared" si="104"/>
        <v>1+2,3972112862253i</v>
      </c>
      <c r="R86" s="4">
        <f t="shared" si="117"/>
        <v>2.5974260241257991</v>
      </c>
      <c r="S86" s="4">
        <f t="shared" si="118"/>
        <v>1.1755922666527283</v>
      </c>
      <c r="T86" s="4" t="str">
        <f t="shared" si="105"/>
        <v>1+0,00601464312731122i</v>
      </c>
      <c r="U86" s="4">
        <f t="shared" si="119"/>
        <v>1.0000180878023901</v>
      </c>
      <c r="V86" s="4">
        <f t="shared" si="120"/>
        <v>6.0145706004452928E-3</v>
      </c>
      <c r="W86" t="str">
        <f t="shared" si="106"/>
        <v>1-0,00119671515115717i</v>
      </c>
      <c r="X86" s="4">
        <f t="shared" si="121"/>
        <v>1.0000007160633202</v>
      </c>
      <c r="Y86" s="4">
        <f t="shared" si="122"/>
        <v>-1.1967145798749068E-3</v>
      </c>
      <c r="Z86" t="str">
        <f t="shared" si="107"/>
        <v>0,999999990836529+0,000164418982685844i</v>
      </c>
      <c r="AA86" s="4">
        <f t="shared" si="123"/>
        <v>1.0000000043533301</v>
      </c>
      <c r="AB86" s="4">
        <f t="shared" si="124"/>
        <v>1.6441898271088012E-4</v>
      </c>
      <c r="AC86" s="47" t="str">
        <f t="shared" si="125"/>
        <v>8,18802322843976-19,3741930206697i</v>
      </c>
      <c r="AD86" s="20">
        <f t="shared" si="126"/>
        <v>26.45818141454415</v>
      </c>
      <c r="AE86" s="43">
        <f t="shared" si="127"/>
        <v>-67.089853004920201</v>
      </c>
      <c r="AF86" t="str">
        <f t="shared" si="108"/>
        <v>171,265703090588</v>
      </c>
      <c r="AG86" t="str">
        <f t="shared" si="109"/>
        <v>1+2,37426993241734i</v>
      </c>
      <c r="AH86">
        <f t="shared" si="128"/>
        <v>2.5762681754780576</v>
      </c>
      <c r="AI86">
        <f t="shared" si="129"/>
        <v>1.1721639128265604</v>
      </c>
      <c r="AJ86" t="str">
        <f t="shared" si="110"/>
        <v>1+0,00601464312731122i</v>
      </c>
      <c r="AK86">
        <f t="shared" si="130"/>
        <v>1.0000180878023901</v>
      </c>
      <c r="AL86">
        <f t="shared" si="131"/>
        <v>6.0145706004452928E-3</v>
      </c>
      <c r="AM86" t="str">
        <f t="shared" si="111"/>
        <v>1-0,000378083657093161i</v>
      </c>
      <c r="AN86">
        <f t="shared" si="132"/>
        <v>1.0000000714736232</v>
      </c>
      <c r="AO86">
        <f t="shared" si="133"/>
        <v>-3.7808363907782265E-4</v>
      </c>
      <c r="AP86" s="41" t="str">
        <f t="shared" si="134"/>
        <v>26,149460349333-61,1205281356821i</v>
      </c>
      <c r="AQ86">
        <f t="shared" si="135"/>
        <v>36.453744389198974</v>
      </c>
      <c r="AR86" s="43">
        <f t="shared" si="136"/>
        <v>-66.837098188335617</v>
      </c>
      <c r="AS86" t="str">
        <f t="shared" si="112"/>
        <v>-0,0000166666666666667</v>
      </c>
      <c r="AT86" t="str">
        <f t="shared" si="113"/>
        <v>4,57714341988384E-07i</v>
      </c>
      <c r="AU86">
        <f t="shared" si="137"/>
        <v>4.5771434198838402E-7</v>
      </c>
      <c r="AV86">
        <f t="shared" si="138"/>
        <v>1.5707963267948966</v>
      </c>
      <c r="AW86" t="str">
        <f t="shared" si="114"/>
        <v>1+0,00143450424127068i</v>
      </c>
      <c r="AX86">
        <f t="shared" si="139"/>
        <v>1.0000010289006798</v>
      </c>
      <c r="AY86">
        <f t="shared" si="140"/>
        <v>1.4345032572964625E-3</v>
      </c>
      <c r="AZ86" t="str">
        <f t="shared" si="115"/>
        <v>1+0,0992416116006351i</v>
      </c>
      <c r="BA86">
        <f t="shared" si="141"/>
        <v>1.0049123829832585</v>
      </c>
      <c r="BB86">
        <f t="shared" si="142"/>
        <v>9.8917716642730746E-2</v>
      </c>
      <c r="BC86" s="41" t="str">
        <f t="shared" si="143"/>
        <v>-3,56142456549019+36,4179217135316i</v>
      </c>
      <c r="BD86">
        <f t="shared" si="144"/>
        <v>31.267639596169801</v>
      </c>
      <c r="BE86" s="43">
        <f t="shared" si="145"/>
        <v>95.58537670035858</v>
      </c>
      <c r="BF86" s="41" t="str">
        <f t="shared" si="146"/>
        <v>676,40681762103+367,190515882259i</v>
      </c>
      <c r="BG86" s="20">
        <f t="shared" si="147"/>
        <v>57.725821010713943</v>
      </c>
      <c r="BH86" s="43">
        <f t="shared" si="148"/>
        <v>28.495523695438386</v>
      </c>
      <c r="BI86" s="41" t="str">
        <f t="shared" si="101"/>
        <v>2132,75327827255+1169,98515021126i</v>
      </c>
      <c r="BJ86" s="20">
        <f t="shared" si="149"/>
        <v>67.721383985368774</v>
      </c>
      <c r="BK86" s="43">
        <f t="shared" si="102"/>
        <v>28.748278512022967</v>
      </c>
      <c r="BL86">
        <f t="shared" si="150"/>
        <v>57.725821010713943</v>
      </c>
      <c r="BM86" s="43">
        <f t="shared" si="151"/>
        <v>28.495523695438386</v>
      </c>
    </row>
    <row r="87" spans="14:65" x14ac:dyDescent="0.25">
      <c r="N87" s="9">
        <v>69</v>
      </c>
      <c r="O87" s="34">
        <f t="shared" si="116"/>
        <v>48.977881936844632</v>
      </c>
      <c r="P87" s="33" t="str">
        <f t="shared" si="103"/>
        <v>54,631621870174</v>
      </c>
      <c r="Q87" s="4" t="str">
        <f t="shared" si="104"/>
        <v>1+2,45304951021069i</v>
      </c>
      <c r="R87" s="4">
        <f t="shared" si="117"/>
        <v>2.649047356984187</v>
      </c>
      <c r="S87" s="4">
        <f t="shared" si="118"/>
        <v>1.1837075456228232</v>
      </c>
      <c r="T87" s="4" t="str">
        <f t="shared" si="105"/>
        <v>1+0,00615474216324718i</v>
      </c>
      <c r="U87" s="4">
        <f t="shared" si="119"/>
        <v>1.0000189402461817</v>
      </c>
      <c r="V87" s="4">
        <f t="shared" si="120"/>
        <v>6.1546644493896858E-3</v>
      </c>
      <c r="W87" t="str">
        <f t="shared" si="106"/>
        <v>1-0,00122459022793534i</v>
      </c>
      <c r="X87" s="4">
        <f t="shared" si="121"/>
        <v>1.000000749810332</v>
      </c>
      <c r="Y87" s="4">
        <f t="shared" si="122"/>
        <v>-1.2245896157953911E-3</v>
      </c>
      <c r="Z87" t="str">
        <f t="shared" si="107"/>
        <v>0,999999990404668+0,000168248792780355i</v>
      </c>
      <c r="AA87" s="4">
        <f t="shared" si="123"/>
        <v>1.0000000045584962</v>
      </c>
      <c r="AB87" s="4">
        <f t="shared" si="124"/>
        <v>1.6824879280718169E-4</v>
      </c>
      <c r="AC87" s="47" t="str">
        <f t="shared" si="125"/>
        <v>7,87611237963403-19,0603431975949i</v>
      </c>
      <c r="AD87" s="20">
        <f t="shared" si="126"/>
        <v>26.287258415135412</v>
      </c>
      <c r="AE87" s="43">
        <f t="shared" si="127"/>
        <v>-67.548614007064543</v>
      </c>
      <c r="AF87" t="str">
        <f t="shared" si="108"/>
        <v>171,265703090588</v>
      </c>
      <c r="AG87" t="str">
        <f t="shared" si="109"/>
        <v>1+2,42957378362557i</v>
      </c>
      <c r="AH87">
        <f t="shared" si="128"/>
        <v>2.6273234993203007</v>
      </c>
      <c r="AI87">
        <f t="shared" si="129"/>
        <v>1.1803345436610881</v>
      </c>
      <c r="AJ87" t="str">
        <f t="shared" si="110"/>
        <v>1+0,00615474216324718i</v>
      </c>
      <c r="AK87">
        <f t="shared" si="130"/>
        <v>1.0000189402461817</v>
      </c>
      <c r="AL87">
        <f t="shared" si="131"/>
        <v>6.1546644493896858E-3</v>
      </c>
      <c r="AM87" t="str">
        <f t="shared" si="111"/>
        <v>1-0,000386890356799312i</v>
      </c>
      <c r="AN87">
        <f t="shared" si="132"/>
        <v>1.0000000748420712</v>
      </c>
      <c r="AO87">
        <f t="shared" si="133"/>
        <v>-3.8689033749552928E-4</v>
      </c>
      <c r="AP87" s="41" t="str">
        <f t="shared" si="134"/>
        <v>25,1586900366402-60,1370585484293i</v>
      </c>
      <c r="AQ87">
        <f t="shared" si="135"/>
        <v>36.283302191980013</v>
      </c>
      <c r="AR87" s="43">
        <f t="shared" si="136"/>
        <v>-67.297718651484018</v>
      </c>
      <c r="AS87" t="str">
        <f t="shared" si="112"/>
        <v>-0,0000166666666666667</v>
      </c>
      <c r="AT87" t="str">
        <f t="shared" si="113"/>
        <v>4,6837587862311E-07i</v>
      </c>
      <c r="AU87">
        <f t="shared" si="137"/>
        <v>4.6837587862310999E-7</v>
      </c>
      <c r="AV87">
        <f t="shared" si="138"/>
        <v>1.5707963267948966</v>
      </c>
      <c r="AW87" t="str">
        <f t="shared" si="114"/>
        <v>1+0,00146791813748931i</v>
      </c>
      <c r="AX87">
        <f t="shared" si="139"/>
        <v>1.0000010773912489</v>
      </c>
      <c r="AY87">
        <f t="shared" si="140"/>
        <v>1.4679170831420015E-3</v>
      </c>
      <c r="AZ87" t="str">
        <f t="shared" si="115"/>
        <v>1+0,101553245693578i</v>
      </c>
      <c r="BA87">
        <f t="shared" si="141"/>
        <v>1.0051433040670867</v>
      </c>
      <c r="BB87">
        <f t="shared" si="142"/>
        <v>0.10120628183556506</v>
      </c>
      <c r="BC87" s="41" t="str">
        <f t="shared" si="143"/>
        <v>-3,56142422009956+35,5891839011574i</v>
      </c>
      <c r="BD87">
        <f t="shared" si="144"/>
        <v>31.069634895872227</v>
      </c>
      <c r="BE87" s="43">
        <f t="shared" si="145"/>
        <v>95.714587355850227</v>
      </c>
      <c r="BF87" s="41" t="str">
        <f t="shared" si="146"/>
        <v>650,291881889325+348,186379812302i</v>
      </c>
      <c r="BG87" s="20">
        <f t="shared" si="147"/>
        <v>57.356893311007646</v>
      </c>
      <c r="BH87" s="43">
        <f t="shared" si="148"/>
        <v>28.165973348785649</v>
      </c>
      <c r="BI87" s="41" t="str">
        <f t="shared" si="101"/>
        <v>2050,62806791225+1109,55082326613i</v>
      </c>
      <c r="BJ87" s="20">
        <f t="shared" si="149"/>
        <v>67.35293708785224</v>
      </c>
      <c r="BK87" s="43">
        <f t="shared" si="102"/>
        <v>28.416868704366323</v>
      </c>
      <c r="BL87">
        <f t="shared" si="150"/>
        <v>57.356893311007646</v>
      </c>
      <c r="BM87" s="43">
        <f t="shared" si="151"/>
        <v>28.165973348785649</v>
      </c>
    </row>
    <row r="88" spans="14:65" x14ac:dyDescent="0.25">
      <c r="N88" s="9">
        <v>70</v>
      </c>
      <c r="O88" s="34">
        <f t="shared" si="116"/>
        <v>50.118723362727238</v>
      </c>
      <c r="P88" s="33" t="str">
        <f t="shared" si="103"/>
        <v>54,631621870174</v>
      </c>
      <c r="Q88" s="4" t="str">
        <f t="shared" si="104"/>
        <v>1+2,51018837351633i</v>
      </c>
      <c r="R88" s="4">
        <f t="shared" si="117"/>
        <v>2.702044720306561</v>
      </c>
      <c r="S88" s="4">
        <f t="shared" si="118"/>
        <v>1.1916903218301362</v>
      </c>
      <c r="T88" s="4" t="str">
        <f t="shared" si="105"/>
        <v>1+0,00629810452494572i</v>
      </c>
      <c r="U88" s="4">
        <f t="shared" si="119"/>
        <v>1.0000198328636323</v>
      </c>
      <c r="V88" s="4">
        <f t="shared" si="120"/>
        <v>6.2980212531363253E-3</v>
      </c>
      <c r="W88" t="str">
        <f t="shared" si="106"/>
        <v>1-0,00125311459866172i</v>
      </c>
      <c r="X88" s="4">
        <f t="shared" si="121"/>
        <v>1.0000007851477903</v>
      </c>
      <c r="Y88" s="4">
        <f t="shared" si="122"/>
        <v>-1.2531139427419749E-3</v>
      </c>
      <c r="Z88" t="str">
        <f t="shared" si="107"/>
        <v>0,999999989952454+0,000172167810611834i</v>
      </c>
      <c r="AA88" s="4">
        <f t="shared" si="123"/>
        <v>1.0000000047733317</v>
      </c>
      <c r="AB88" s="4">
        <f t="shared" si="124"/>
        <v>1.7216781064057933E-4</v>
      </c>
      <c r="AC88" s="47" t="str">
        <f t="shared" si="125"/>
        <v>7,57430365467998-18,7467188757396i</v>
      </c>
      <c r="AD88" s="20">
        <f t="shared" si="126"/>
        <v>26.115210267000975</v>
      </c>
      <c r="AE88" s="43">
        <f t="shared" si="127"/>
        <v>-67.999638519451082</v>
      </c>
      <c r="AF88" t="str">
        <f t="shared" si="108"/>
        <v>171,265703090588</v>
      </c>
      <c r="AG88" t="str">
        <f t="shared" si="109"/>
        <v>1+2,48616582701308i</v>
      </c>
      <c r="AH88">
        <f t="shared" si="128"/>
        <v>2.6797426218589782</v>
      </c>
      <c r="AI88">
        <f t="shared" si="129"/>
        <v>1.1883726439053406</v>
      </c>
      <c r="AJ88" t="str">
        <f t="shared" si="110"/>
        <v>1+0,00629810452494572i</v>
      </c>
      <c r="AK88">
        <f t="shared" si="130"/>
        <v>1.0000198328636323</v>
      </c>
      <c r="AL88">
        <f t="shared" si="131"/>
        <v>6.2980212531363253E-3</v>
      </c>
      <c r="AM88" t="str">
        <f t="shared" si="111"/>
        <v>1-0,000395902190893736i</v>
      </c>
      <c r="AN88">
        <f t="shared" si="132"/>
        <v>1.0000000783692693</v>
      </c>
      <c r="AO88">
        <f t="shared" si="133"/>
        <v>-3.9590217020936017E-4</v>
      </c>
      <c r="AP88" s="41" t="str">
        <f t="shared" si="134"/>
        <v>24,1997996718688-59,1538701322382i</v>
      </c>
      <c r="AQ88">
        <f t="shared" si="135"/>
        <v>36.111719303774642</v>
      </c>
      <c r="AR88" s="43">
        <f t="shared" si="136"/>
        <v>-67.750570470943742</v>
      </c>
      <c r="AS88" t="str">
        <f t="shared" si="112"/>
        <v>-0,0000166666666666667</v>
      </c>
      <c r="AT88" t="str">
        <f t="shared" si="113"/>
        <v>4,79285754348369E-07i</v>
      </c>
      <c r="AU88">
        <f t="shared" si="137"/>
        <v>4.7928575434836898E-7</v>
      </c>
      <c r="AV88">
        <f t="shared" si="138"/>
        <v>1.5707963267948966</v>
      </c>
      <c r="AW88" t="str">
        <f t="shared" si="114"/>
        <v>1+0,00150211034333462i</v>
      </c>
      <c r="AX88">
        <f t="shared" si="139"/>
        <v>1.0000011281671053</v>
      </c>
      <c r="AY88">
        <f t="shared" si="140"/>
        <v>1.5021092135811935E-3</v>
      </c>
      <c r="AZ88" t="str">
        <f t="shared" si="115"/>
        <v>1+0,103918724661604i</v>
      </c>
      <c r="BA88">
        <f t="shared" si="141"/>
        <v>1.0053850512790083</v>
      </c>
      <c r="BB88">
        <f t="shared" si="142"/>
        <v>0.10354705365400972</v>
      </c>
      <c r="BC88" s="41" t="str">
        <f t="shared" si="143"/>
        <v>-3,56142385843124+34,7793159451186i</v>
      </c>
      <c r="BD88">
        <f t="shared" si="144"/>
        <v>30.871723248670605</v>
      </c>
      <c r="BE88" s="43">
        <f t="shared" si="145"/>
        <v>95.846744637083489</v>
      </c>
      <c r="BF88" s="41" t="str">
        <f t="shared" si="146"/>
        <v>625,022752966886+330,194111741744i</v>
      </c>
      <c r="BG88" s="20">
        <f t="shared" si="147"/>
        <v>56.986933515671588</v>
      </c>
      <c r="BH88" s="43">
        <f t="shared" si="148"/>
        <v>27.847106117632435</v>
      </c>
      <c r="BI88" s="41" t="str">
        <f t="shared" si="101"/>
        <v>1971,14539478498+1052,324483004i</v>
      </c>
      <c r="BJ88" s="20">
        <f t="shared" si="149"/>
        <v>66.983442552445254</v>
      </c>
      <c r="BK88" s="43">
        <f t="shared" si="102"/>
        <v>28.096174166139754</v>
      </c>
      <c r="BL88">
        <f t="shared" si="150"/>
        <v>56.986933515671588</v>
      </c>
      <c r="BM88" s="43">
        <f t="shared" si="151"/>
        <v>27.847106117632435</v>
      </c>
    </row>
    <row r="89" spans="14:65" x14ac:dyDescent="0.25">
      <c r="N89" s="9">
        <v>71</v>
      </c>
      <c r="O89" s="34">
        <f t="shared" si="116"/>
        <v>51.28613839913649</v>
      </c>
      <c r="P89" s="33" t="str">
        <f t="shared" si="103"/>
        <v>54,631621870174</v>
      </c>
      <c r="Q89" s="4" t="str">
        <f t="shared" si="104"/>
        <v>1+2,56865817192388i</v>
      </c>
      <c r="R89" s="4">
        <f t="shared" si="117"/>
        <v>2.7564478598717099</v>
      </c>
      <c r="S89" s="4">
        <f t="shared" si="118"/>
        <v>1.1995407572065278</v>
      </c>
      <c r="T89" s="4" t="str">
        <f t="shared" si="105"/>
        <v>1+0,00644480622502866i</v>
      </c>
      <c r="U89" s="4">
        <f t="shared" si="119"/>
        <v>1.0000207675479935</v>
      </c>
      <c r="V89" s="4">
        <f t="shared" si="120"/>
        <v>6.444716997777389E-3</v>
      </c>
      <c r="W89" t="str">
        <f t="shared" si="106"/>
        <v>1-0,00128230338733525i</v>
      </c>
      <c r="X89" s="4">
        <f t="shared" si="121"/>
        <v>1.0000008221506507</v>
      </c>
      <c r="Y89" s="4">
        <f t="shared" si="122"/>
        <v>-1.2823026845046118E-3</v>
      </c>
      <c r="Z89" t="str">
        <f t="shared" si="107"/>
        <v>0,999999989478928+0,00017617811409541i</v>
      </c>
      <c r="AA89" s="4">
        <f t="shared" si="123"/>
        <v>1.0000000049982918</v>
      </c>
      <c r="AB89" s="4">
        <f t="shared" si="124"/>
        <v>1.7617811412621109E-4</v>
      </c>
      <c r="AC89" s="47" t="str">
        <f t="shared" si="125"/>
        <v>7,28241872571865-18,4336334495997i</v>
      </c>
      <c r="AD89" s="20">
        <f t="shared" si="126"/>
        <v>25.942073717730811</v>
      </c>
      <c r="AE89" s="43">
        <f t="shared" si="127"/>
        <v>-68.442932451994537</v>
      </c>
      <c r="AF89" t="str">
        <f t="shared" si="108"/>
        <v>171,265703090588</v>
      </c>
      <c r="AG89" t="str">
        <f t="shared" si="109"/>
        <v>1+2,54407606843036i</v>
      </c>
      <c r="AH89">
        <f t="shared" si="128"/>
        <v>2.7335550190109723</v>
      </c>
      <c r="AI89">
        <f t="shared" si="129"/>
        <v>1.196278319621386</v>
      </c>
      <c r="AJ89" t="str">
        <f t="shared" si="110"/>
        <v>1+0,00644480622502866i</v>
      </c>
      <c r="AK89">
        <f t="shared" si="130"/>
        <v>1.0000207675479935</v>
      </c>
      <c r="AL89">
        <f t="shared" si="131"/>
        <v>6.444716997777389E-3</v>
      </c>
      <c r="AM89" t="str">
        <f t="shared" si="111"/>
        <v>1-0,000405123937570157i</v>
      </c>
      <c r="AN89">
        <f t="shared" si="132"/>
        <v>1.0000000820626991</v>
      </c>
      <c r="AO89">
        <f t="shared" si="133"/>
        <v>-4.0512391540644912E-4</v>
      </c>
      <c r="AP89" s="41" t="str">
        <f t="shared" si="134"/>
        <v>23,2722430797626-58,1719662445127i</v>
      </c>
      <c r="AQ89">
        <f t="shared" si="135"/>
        <v>35.939032741701247</v>
      </c>
      <c r="AR89" s="43">
        <f t="shared" si="136"/>
        <v>-68.195655643711277</v>
      </c>
      <c r="AS89" t="str">
        <f t="shared" si="112"/>
        <v>-0,0000166666666666667</v>
      </c>
      <c r="AT89" t="str">
        <f t="shared" si="113"/>
        <v>4,90449753724681E-07i</v>
      </c>
      <c r="AU89">
        <f t="shared" si="137"/>
        <v>4.90449753724681E-7</v>
      </c>
      <c r="AV89">
        <f t="shared" si="138"/>
        <v>1.5707963267948966</v>
      </c>
      <c r="AW89" t="str">
        <f t="shared" si="114"/>
        <v>1+0,00153709898796676i</v>
      </c>
      <c r="AX89">
        <f t="shared" si="139"/>
        <v>1.0000011813359515</v>
      </c>
      <c r="AY89">
        <f t="shared" si="140"/>
        <v>1.5370977774142307E-3</v>
      </c>
      <c r="AZ89" t="str">
        <f t="shared" si="115"/>
        <v>1+0,106339302712973i</v>
      </c>
      <c r="BA89">
        <f t="shared" si="141"/>
        <v>1.0056381293991796</v>
      </c>
      <c r="BB89">
        <f t="shared" si="142"/>
        <v>0.10594117054544025</v>
      </c>
      <c r="BC89" s="41" t="str">
        <f t="shared" si="143"/>
        <v>-3,56142347971812+33,9878884427011i</v>
      </c>
      <c r="BD89">
        <f t="shared" si="144"/>
        <v>30.673908946270494</v>
      </c>
      <c r="BE89" s="43">
        <f t="shared" si="145"/>
        <v>95.981912733584593</v>
      </c>
      <c r="BF89" s="41" t="str">
        <f t="shared" si="146"/>
        <v>600,584500239725+313,164010226685i</v>
      </c>
      <c r="BG89" s="20">
        <f t="shared" si="147"/>
        <v>56.615982664001308</v>
      </c>
      <c r="BH89" s="43">
        <f t="shared" si="148"/>
        <v>27.538980281590071</v>
      </c>
      <c r="BI89" s="41" t="str">
        <f t="shared" si="101"/>
        <v>1894,2599862811+998,149408050971i</v>
      </c>
      <c r="BJ89" s="20">
        <f t="shared" si="149"/>
        <v>66.612941687971755</v>
      </c>
      <c r="BK89" s="43">
        <f t="shared" si="102"/>
        <v>27.786257089873288</v>
      </c>
      <c r="BL89">
        <f t="shared" si="150"/>
        <v>56.615982664001308</v>
      </c>
      <c r="BM89" s="43">
        <f t="shared" si="151"/>
        <v>27.538980281590071</v>
      </c>
    </row>
    <row r="90" spans="14:65" x14ac:dyDescent="0.25">
      <c r="N90" s="9">
        <v>72</v>
      </c>
      <c r="O90" s="34">
        <f t="shared" si="116"/>
        <v>52.480746024977286</v>
      </c>
      <c r="P90" s="33" t="str">
        <f t="shared" si="103"/>
        <v>54,631621870174</v>
      </c>
      <c r="Q90" s="4" t="str">
        <f t="shared" si="104"/>
        <v>1+2,62848990689441i</v>
      </c>
      <c r="R90" s="4">
        <f t="shared" si="117"/>
        <v>2.8122871813962713</v>
      </c>
      <c r="S90" s="4">
        <f t="shared" si="118"/>
        <v>1.2072591425895787</v>
      </c>
      <c r="T90" s="4" t="str">
        <f t="shared" si="105"/>
        <v>1+0,00659492504667922i</v>
      </c>
      <c r="U90" s="4">
        <f t="shared" si="119"/>
        <v>1.0000217462817353</v>
      </c>
      <c r="V90" s="4">
        <f t="shared" si="120"/>
        <v>6.5948294380692189E-3</v>
      </c>
      <c r="W90" t="str">
        <f t="shared" si="106"/>
        <v>1-0,00131217207023803i</v>
      </c>
      <c r="X90" s="4">
        <f t="shared" si="121"/>
        <v>1.0000008608974005</v>
      </c>
      <c r="Y90" s="4">
        <f t="shared" si="122"/>
        <v>-1.3121713171414676E-3</v>
      </c>
      <c r="Z90" t="str">
        <f t="shared" si="107"/>
        <v>0,999999988983085+0,000180281829547072i</v>
      </c>
      <c r="AA90" s="4">
        <f t="shared" si="123"/>
        <v>1.000000005233854</v>
      </c>
      <c r="AB90" s="4">
        <f t="shared" si="124"/>
        <v>1.8028182958007604E-4</v>
      </c>
      <c r="AC90" s="47" t="str">
        <f t="shared" si="125"/>
        <v>7,00027044898842-18,121384037725i</v>
      </c>
      <c r="AD90" s="20">
        <f t="shared" si="126"/>
        <v>25.767884845089224</v>
      </c>
      <c r="AE90" s="43">
        <f t="shared" si="127"/>
        <v>-68.878509021983504</v>
      </c>
      <c r="AF90" t="str">
        <f t="shared" si="108"/>
        <v>171,265703090588</v>
      </c>
      <c r="AG90" t="str">
        <f t="shared" si="109"/>
        <v>1+2,60333521265397i</v>
      </c>
      <c r="AH90">
        <f t="shared" si="128"/>
        <v>2.7887908185168873</v>
      </c>
      <c r="AI90">
        <f t="shared" si="129"/>
        <v>1.2040518086487781</v>
      </c>
      <c r="AJ90" t="str">
        <f t="shared" si="110"/>
        <v>1+0,00659492504667922i</v>
      </c>
      <c r="AK90">
        <f t="shared" si="130"/>
        <v>1.0000217462817353</v>
      </c>
      <c r="AL90">
        <f t="shared" si="131"/>
        <v>6.5948294380692189E-3</v>
      </c>
      <c r="AM90" t="str">
        <f t="shared" si="111"/>
        <v>1-0,000414560486320728i</v>
      </c>
      <c r="AN90">
        <f t="shared" si="132"/>
        <v>1.0000000859301947</v>
      </c>
      <c r="AO90">
        <f t="shared" si="133"/>
        <v>-4.1456046257188722E-4</v>
      </c>
      <c r="AP90" s="41" t="str">
        <f t="shared" si="134"/>
        <v>22,3754449289294-57,1922992004956i</v>
      </c>
      <c r="AQ90">
        <f t="shared" si="135"/>
        <v>35.765278866902641</v>
      </c>
      <c r="AR90" s="43">
        <f t="shared" si="136"/>
        <v>-68.632983622116726</v>
      </c>
      <c r="AS90" t="str">
        <f t="shared" si="112"/>
        <v>-0,0000166666666666667</v>
      </c>
      <c r="AT90" t="str">
        <f t="shared" si="113"/>
        <v>5,01873796052288E-07i</v>
      </c>
      <c r="AU90">
        <f t="shared" si="137"/>
        <v>5.0187379605228802E-7</v>
      </c>
      <c r="AV90">
        <f t="shared" si="138"/>
        <v>1.5707963267948966</v>
      </c>
      <c r="AW90" t="str">
        <f t="shared" si="114"/>
        <v>1+0,00157290262282822i</v>
      </c>
      <c r="AX90">
        <f t="shared" si="139"/>
        <v>1.0000012370105653</v>
      </c>
      <c r="AY90">
        <f t="shared" si="140"/>
        <v>1.5729013256979014E-3</v>
      </c>
      <c r="AZ90" t="str">
        <f t="shared" si="115"/>
        <v>1+0,108816263270207i</v>
      </c>
      <c r="BA90">
        <f t="shared" si="141"/>
        <v>1.0059030664791171</v>
      </c>
      <c r="BB90">
        <f t="shared" si="142"/>
        <v>0.1083897920616901</v>
      </c>
      <c r="BC90" s="41" t="str">
        <f t="shared" si="143"/>
        <v>-3,56142308315687+33,2144817685639i</v>
      </c>
      <c r="BD90">
        <f t="shared" si="144"/>
        <v>30.476196473746285</v>
      </c>
      <c r="BE90" s="43">
        <f t="shared" si="145"/>
        <v>96.120157019882413</v>
      </c>
      <c r="BF90" s="41" t="str">
        <f t="shared" si="146"/>
        <v>576,961454976794+297,048270613647i</v>
      </c>
      <c r="BG90" s="20">
        <f t="shared" si="147"/>
        <v>56.244081318835519</v>
      </c>
      <c r="BH90" s="43">
        <f t="shared" si="148"/>
        <v>27.241647997898909</v>
      </c>
      <c r="BI90" s="41" t="str">
        <f t="shared" si="101"/>
        <v>1819,92415303132+946,87478220689i</v>
      </c>
      <c r="BJ90" s="20">
        <f t="shared" si="149"/>
        <v>66.241475340648933</v>
      </c>
      <c r="BK90" s="43">
        <f t="shared" si="102"/>
        <v>27.487173397765659</v>
      </c>
      <c r="BL90">
        <f t="shared" si="150"/>
        <v>56.244081318835519</v>
      </c>
      <c r="BM90" s="43">
        <f t="shared" si="151"/>
        <v>27.241647997898909</v>
      </c>
    </row>
    <row r="91" spans="14:65" x14ac:dyDescent="0.25">
      <c r="N91" s="9">
        <v>73</v>
      </c>
      <c r="O91" s="34">
        <f t="shared" si="116"/>
        <v>53.703179637025293</v>
      </c>
      <c r="P91" s="33" t="str">
        <f t="shared" si="103"/>
        <v>54,631621870174</v>
      </c>
      <c r="Q91" s="4" t="str">
        <f t="shared" si="104"/>
        <v>1+2,68971530200574i</v>
      </c>
      <c r="R91" s="4">
        <f t="shared" si="117"/>
        <v>2.8695937701779024</v>
      </c>
      <c r="S91" s="4">
        <f t="shared" si="118"/>
        <v>1.2148458908642579</v>
      </c>
      <c r="T91" s="4" t="str">
        <f t="shared" si="105"/>
        <v>1+0,00674854058488366i</v>
      </c>
      <c r="U91" s="4">
        <f t="shared" si="119"/>
        <v>1.0000227711407506</v>
      </c>
      <c r="V91" s="4">
        <f t="shared" si="120"/>
        <v>6.7484381385382866E-3</v>
      </c>
      <c r="W91" t="str">
        <f t="shared" si="106"/>
        <v>1-0,00134273648414111i</v>
      </c>
      <c r="X91" s="4">
        <f t="shared" si="121"/>
        <v>1.0000009014702267</v>
      </c>
      <c r="Y91" s="4">
        <f t="shared" si="122"/>
        <v>-1.3427356771836441E-3</v>
      </c>
      <c r="Z91" t="str">
        <f t="shared" si="107"/>
        <v>0,999999988463874+0,000184481132811072i</v>
      </c>
      <c r="AA91" s="4">
        <f t="shared" si="123"/>
        <v>1.000000005480518</v>
      </c>
      <c r="AB91" s="4">
        <f t="shared" si="124"/>
        <v>1.8448113284643639E-4</v>
      </c>
      <c r="AC91" s="47" t="str">
        <f t="shared" si="125"/>
        <v>6,72766400073344-17,8102515653399i</v>
      </c>
      <c r="AD91" s="20">
        <f t="shared" si="126"/>
        <v>25.592679026813919</v>
      </c>
      <c r="AE91" s="43">
        <f t="shared" si="127"/>
        <v>-69.306388359305444</v>
      </c>
      <c r="AF91" t="str">
        <f t="shared" si="108"/>
        <v>171,265703090588</v>
      </c>
      <c r="AG91" t="str">
        <f t="shared" si="109"/>
        <v>1+2,66397467966653i</v>
      </c>
      <c r="AH91">
        <f t="shared" si="128"/>
        <v>2.8454808194581793</v>
      </c>
      <c r="AI91">
        <f t="shared" si="129"/>
        <v>1.211693473734295</v>
      </c>
      <c r="AJ91" t="str">
        <f t="shared" si="110"/>
        <v>1+0,00674854058488366i</v>
      </c>
      <c r="AK91">
        <f t="shared" si="130"/>
        <v>1.0000227711407506</v>
      </c>
      <c r="AL91">
        <f t="shared" si="131"/>
        <v>6.7484381385382866E-3</v>
      </c>
      <c r="AM91" t="str">
        <f t="shared" si="111"/>
        <v>1-0,000424216840528502i</v>
      </c>
      <c r="AN91">
        <f t="shared" si="132"/>
        <v>1.0000000899799599</v>
      </c>
      <c r="AO91">
        <f t="shared" si="133"/>
        <v>-4.2421681508116076E-4</v>
      </c>
      <c r="AP91" s="41" t="str">
        <f t="shared" si="134"/>
        <v>21,5088043544205-56,215770437428i</v>
      </c>
      <c r="AQ91">
        <f t="shared" si="135"/>
        <v>35.590493352588688</v>
      </c>
      <c r="AR91" s="43">
        <f t="shared" si="136"/>
        <v>-69.062570917980267</v>
      </c>
      <c r="AS91" t="str">
        <f t="shared" si="112"/>
        <v>-0,0000166666666666667</v>
      </c>
      <c r="AT91" t="str">
        <f t="shared" si="113"/>
        <v>5,13563938509647E-07i</v>
      </c>
      <c r="AU91">
        <f t="shared" si="137"/>
        <v>5.1356393850964701E-7</v>
      </c>
      <c r="AV91">
        <f t="shared" si="138"/>
        <v>1.5707963267948966</v>
      </c>
      <c r="AW91" t="str">
        <f t="shared" si="114"/>
        <v>1+0,00160954023148014i</v>
      </c>
      <c r="AX91">
        <f t="shared" si="139"/>
        <v>1.0000012953090394</v>
      </c>
      <c r="AY91">
        <f t="shared" si="140"/>
        <v>1.6095388415800593E-3</v>
      </c>
      <c r="AZ91" t="str">
        <f t="shared" si="115"/>
        <v>1+0,11135091965058i</v>
      </c>
      <c r="BA91">
        <f t="shared" si="141"/>
        <v>1.0061804148894125</v>
      </c>
      <c r="BB91">
        <f t="shared" si="142"/>
        <v>0.11089409897981985</v>
      </c>
      <c r="BC91" s="41" t="str">
        <f t="shared" si="143"/>
        <v>-3,56142266790634+32,4586858522472i</v>
      </c>
      <c r="BD91">
        <f t="shared" si="144"/>
        <v>30.278590517818319</v>
      </c>
      <c r="BE91" s="43">
        <f t="shared" si="145"/>
        <v>96.261544061864768</v>
      </c>
      <c r="BF91" s="41" t="str">
        <f t="shared" si="146"/>
        <v>554,137305434592+281,800965965195i</v>
      </c>
      <c r="BG91" s="20">
        <f t="shared" si="147"/>
        <v>55.871269544632234</v>
      </c>
      <c r="BH91" s="43">
        <f t="shared" si="148"/>
        <v>26.955155702559331</v>
      </c>
      <c r="BI91" s="41" t="str">
        <f t="shared" si="101"/>
        <v>1748,08808918312+898,355642727257i</v>
      </c>
      <c r="BJ91" s="20">
        <f t="shared" si="149"/>
        <v>65.869083870406996</v>
      </c>
      <c r="BK91" s="43">
        <f t="shared" si="102"/>
        <v>27.198973143884583</v>
      </c>
      <c r="BL91">
        <f t="shared" si="150"/>
        <v>55.871269544632234</v>
      </c>
      <c r="BM91" s="43">
        <f t="shared" si="151"/>
        <v>26.955155702559331</v>
      </c>
    </row>
    <row r="92" spans="14:65" x14ac:dyDescent="0.25">
      <c r="N92" s="9">
        <v>74</v>
      </c>
      <c r="O92" s="34">
        <f t="shared" si="116"/>
        <v>54.95408738576247</v>
      </c>
      <c r="P92" s="33" t="str">
        <f t="shared" si="103"/>
        <v>54,631621870174</v>
      </c>
      <c r="Q92" s="4" t="str">
        <f t="shared" si="104"/>
        <v>1+2,75236681977278i</v>
      </c>
      <c r="R92" s="4">
        <f t="shared" si="117"/>
        <v>2.9283994110411453</v>
      </c>
      <c r="S92" s="4">
        <f t="shared" si="118"/>
        <v>1.2223015301539903</v>
      </c>
      <c r="T92" s="4" t="str">
        <f t="shared" si="105"/>
        <v>1+0,00690573428863372i</v>
      </c>
      <c r="U92" s="4">
        <f t="shared" si="119"/>
        <v>1.0000238442987572</v>
      </c>
      <c r="V92" s="4">
        <f t="shared" si="120"/>
        <v>6.9056245155382648E-3</v>
      </c>
      <c r="W92" t="str">
        <f t="shared" si="106"/>
        <v>1-0,00137401283470129i</v>
      </c>
      <c r="X92" s="4">
        <f t="shared" si="121"/>
        <v>1.0000009439551896</v>
      </c>
      <c r="Y92" s="4">
        <f t="shared" si="122"/>
        <v>-1.3740119700308309E-3</v>
      </c>
      <c r="Z92" t="str">
        <f t="shared" si="107"/>
        <v>0,999999987920193+0,000188778250413585i</v>
      </c>
      <c r="AA92" s="4">
        <f t="shared" si="123"/>
        <v>1.000000005738807</v>
      </c>
      <c r="AB92" s="4">
        <f t="shared" si="124"/>
        <v>1.8877825045147866E-4</v>
      </c>
      <c r="AC92" s="47" t="str">
        <f t="shared" si="125"/>
        <v>6,46439796271402-17,5005009144713i</v>
      </c>
      <c r="AD92" s="20">
        <f t="shared" si="126"/>
        <v>25.416490914492165</v>
      </c>
      <c r="AE92" s="43">
        <f t="shared" si="127"/>
        <v>-69.726597114461725</v>
      </c>
      <c r="AF92" t="str">
        <f t="shared" si="108"/>
        <v>171,265703090588</v>
      </c>
      <c r="AG92" t="str">
        <f t="shared" si="109"/>
        <v>1+2,72602662131613i</v>
      </c>
      <c r="AH92">
        <f t="shared" si="128"/>
        <v>2.9036565120764948</v>
      </c>
      <c r="AI92">
        <f t="shared" si="129"/>
        <v>1.219203795698931</v>
      </c>
      <c r="AJ92" t="str">
        <f t="shared" si="110"/>
        <v>1+0,00690573428863372i</v>
      </c>
      <c r="AK92">
        <f t="shared" si="130"/>
        <v>1.0000238442987572</v>
      </c>
      <c r="AL92">
        <f t="shared" si="131"/>
        <v>6.9056245155382648E-3</v>
      </c>
      <c r="AM92" t="str">
        <f t="shared" si="111"/>
        <v>1-0,000434098120120299i</v>
      </c>
      <c r="AN92">
        <f t="shared" si="132"/>
        <v>1.0000000942205847</v>
      </c>
      <c r="AO92">
        <f t="shared" si="133"/>
        <v>-4.3409809285298176E-4</v>
      </c>
      <c r="AP92" s="41" t="str">
        <f t="shared" si="134"/>
        <v>20,6716984262587-55,2432308992529i</v>
      </c>
      <c r="AQ92">
        <f t="shared" si="135"/>
        <v>35.414711156231533</v>
      </c>
      <c r="AR92" s="43">
        <f t="shared" si="136"/>
        <v>-69.484440708851707</v>
      </c>
      <c r="AS92" t="str">
        <f t="shared" si="112"/>
        <v>-0,0000166666666666667</v>
      </c>
      <c r="AT92" t="str">
        <f t="shared" si="113"/>
        <v>5,25526379365026E-07i</v>
      </c>
      <c r="AU92">
        <f t="shared" si="137"/>
        <v>5.2552637936502595E-7</v>
      </c>
      <c r="AV92">
        <f t="shared" si="138"/>
        <v>1.5707963267948966</v>
      </c>
      <c r="AW92" t="str">
        <f t="shared" si="114"/>
        <v>1+0,00164703123966757i</v>
      </c>
      <c r="AX92">
        <f t="shared" si="139"/>
        <v>1.0000013563550323</v>
      </c>
      <c r="AY92">
        <f t="shared" si="140"/>
        <v>1.6470297503629104E-3</v>
      </c>
      <c r="AZ92" t="str">
        <f t="shared" si="115"/>
        <v>1+0,113944615762456i</v>
      </c>
      <c r="BA92">
        <f t="shared" si="141"/>
        <v>1.0064707524122367</v>
      </c>
      <c r="BB92">
        <f t="shared" si="142"/>
        <v>0.1134552934011145</v>
      </c>
      <c r="BC92" s="41" t="str">
        <f t="shared" si="143"/>
        <v>-3,56142223308579+31,7200999607479i</v>
      </c>
      <c r="BD92">
        <f t="shared" si="144"/>
        <v>30.081095975442938</v>
      </c>
      <c r="BE92" s="43">
        <f t="shared" si="145"/>
        <v>96.40614162187407</v>
      </c>
      <c r="BF92" s="41" t="str">
        <f t="shared" si="146"/>
        <v>532,095187742265+267,37802261028i</v>
      </c>
      <c r="BG92" s="20">
        <f t="shared" si="147"/>
        <v>55.4975868899351</v>
      </c>
      <c r="BH92" s="43">
        <f t="shared" si="148"/>
        <v>26.679544507412366</v>
      </c>
      <c r="BI92" s="41" t="str">
        <f t="shared" si="101"/>
        <v>1678,70015990806+852,452811191452i</v>
      </c>
      <c r="BJ92" s="20">
        <f t="shared" si="149"/>
        <v>65.495807131674482</v>
      </c>
      <c r="BK92" s="43">
        <f t="shared" si="102"/>
        <v>26.921700913022317</v>
      </c>
      <c r="BL92">
        <f t="shared" si="150"/>
        <v>55.4975868899351</v>
      </c>
      <c r="BM92" s="43">
        <f t="shared" si="151"/>
        <v>26.679544507412366</v>
      </c>
    </row>
    <row r="93" spans="14:65" x14ac:dyDescent="0.25">
      <c r="N93" s="9">
        <v>75</v>
      </c>
      <c r="O93" s="34">
        <f t="shared" si="116"/>
        <v>56.234132519034915</v>
      </c>
      <c r="P93" s="33" t="str">
        <f t="shared" si="103"/>
        <v>54,631621870174</v>
      </c>
      <c r="Q93" s="4" t="str">
        <f t="shared" si="104"/>
        <v>1+2,81647767885955i</v>
      </c>
      <c r="R93" s="4">
        <f t="shared" si="117"/>
        <v>2.9887366085879967</v>
      </c>
      <c r="S93" s="4">
        <f t="shared" si="118"/>
        <v>1.2296266970881629</v>
      </c>
      <c r="T93" s="4" t="str">
        <f t="shared" si="105"/>
        <v>1+0,0070665895041118i</v>
      </c>
      <c r="U93" s="4">
        <f t="shared" si="119"/>
        <v>1.0000249680319084</v>
      </c>
      <c r="V93" s="4">
        <f t="shared" si="120"/>
        <v>7.0664718802794348E-3</v>
      </c>
      <c r="W93" t="str">
        <f t="shared" si="106"/>
        <v>1-0,00140601770505365i</v>
      </c>
      <c r="X93" s="4">
        <f t="shared" si="121"/>
        <v>1.0000009884424048</v>
      </c>
      <c r="Y93" s="4">
        <f t="shared" si="122"/>
        <v>-1.4060167785426099E-3</v>
      </c>
      <c r="Z93" t="str">
        <f t="shared" si="107"/>
        <v>0,999999987350889+0,000193175460743243i</v>
      </c>
      <c r="AA93" s="4">
        <f t="shared" si="123"/>
        <v>1.0000000060092684</v>
      </c>
      <c r="AB93" s="4">
        <f t="shared" si="124"/>
        <v>1.9317546078384684E-4</v>
      </c>
      <c r="AC93" s="47" t="str">
        <f t="shared" si="125"/>
        <v>6,21026535487349-17,1923811347851i</v>
      </c>
      <c r="AD93" s="20">
        <f t="shared" si="126"/>
        <v>25.239354411324122</v>
      </c>
      <c r="AE93" s="43">
        <f t="shared" si="127"/>
        <v>-70.139168070918601</v>
      </c>
      <c r="AF93" t="str">
        <f t="shared" si="108"/>
        <v>171,265703090588</v>
      </c>
      <c r="AG93" t="str">
        <f t="shared" si="109"/>
        <v>1+2,78952393836357i</v>
      </c>
      <c r="AH93">
        <f t="shared" si="128"/>
        <v>2.963350097896535</v>
      </c>
      <c r="AI93">
        <f t="shared" si="129"/>
        <v>1.2265833666703589</v>
      </c>
      <c r="AJ93" t="str">
        <f t="shared" si="110"/>
        <v>1+0,0070665895041118i</v>
      </c>
      <c r="AK93">
        <f t="shared" si="130"/>
        <v>1.0000249680319084</v>
      </c>
      <c r="AL93">
        <f t="shared" si="131"/>
        <v>7.0664718802794348E-3</v>
      </c>
      <c r="AM93" t="str">
        <f t="shared" si="111"/>
        <v>1-0,00044420956428135i</v>
      </c>
      <c r="AN93">
        <f t="shared" si="132"/>
        <v>1.0000000986610638</v>
      </c>
      <c r="AO93">
        <f t="shared" si="133"/>
        <v>-4.442095350638933E-4</v>
      </c>
      <c r="AP93" s="41" t="str">
        <f t="shared" si="134"/>
        <v>19,8634854553103-54,2754816203967i</v>
      </c>
      <c r="AQ93">
        <f t="shared" si="135"/>
        <v>35.237966495728784</v>
      </c>
      <c r="AR93" s="43">
        <f t="shared" si="136"/>
        <v>-69.898622447949862</v>
      </c>
      <c r="AS93" t="str">
        <f t="shared" si="112"/>
        <v>-0,0000166666666666667</v>
      </c>
      <c r="AT93" t="str">
        <f t="shared" si="113"/>
        <v>5,37767461262908E-07i</v>
      </c>
      <c r="AU93">
        <f t="shared" si="137"/>
        <v>5.3776746126290799E-7</v>
      </c>
      <c r="AV93">
        <f t="shared" si="138"/>
        <v>1.5707963267948966</v>
      </c>
      <c r="AW93" t="str">
        <f t="shared" si="114"/>
        <v>1+0,0016853955256193i</v>
      </c>
      <c r="AX93">
        <f t="shared" si="139"/>
        <v>1.0000014202780303</v>
      </c>
      <c r="AY93">
        <f t="shared" si="140"/>
        <v>1.6853939298007283E-3</v>
      </c>
      <c r="AZ93" t="str">
        <f t="shared" si="115"/>
        <v>1+0,116598726817845i</v>
      </c>
      <c r="BA93">
        <f t="shared" si="141"/>
        <v>1.0067746833803195</v>
      </c>
      <c r="BB93">
        <f t="shared" si="142"/>
        <v>0.11607459882627152</v>
      </c>
      <c r="BC93" s="41" t="str">
        <f t="shared" si="143"/>
        <v>-3,56142177777289+30,9983324860456i</v>
      </c>
      <c r="BD93">
        <f t="shared" si="144"/>
        <v>29.883717962722859</v>
      </c>
      <c r="BE93" s="43">
        <f t="shared" si="145"/>
        <v>96.554018662424966</v>
      </c>
      <c r="BF93" s="41" t="str">
        <f t="shared" si="146"/>
        <v>510,817772362292+253,737190882134i</v>
      </c>
      <c r="BG93" s="20">
        <f t="shared" si="147"/>
        <v>55.123072374046991</v>
      </c>
      <c r="BH93" s="43">
        <f t="shared" si="148"/>
        <v>26.414850591506358</v>
      </c>
      <c r="BI93" s="41" t="str">
        <f t="shared" si="101"/>
        <v>1611,7071754263+809,032808717433i</v>
      </c>
      <c r="BJ93" s="20">
        <f t="shared" si="149"/>
        <v>65.121684458451654</v>
      </c>
      <c r="BK93" s="43">
        <f t="shared" si="102"/>
        <v>26.655396214475068</v>
      </c>
      <c r="BL93">
        <f t="shared" si="150"/>
        <v>55.123072374046991</v>
      </c>
      <c r="BM93" s="43">
        <f t="shared" si="151"/>
        <v>26.414850591506358</v>
      </c>
    </row>
    <row r="94" spans="14:65" x14ac:dyDescent="0.25">
      <c r="N94" s="9">
        <v>76</v>
      </c>
      <c r="O94" s="34">
        <f t="shared" si="116"/>
        <v>57.543993733715695</v>
      </c>
      <c r="P94" s="33" t="str">
        <f t="shared" si="103"/>
        <v>54,631621870174</v>
      </c>
      <c r="Q94" s="4" t="str">
        <f t="shared" si="104"/>
        <v>1+2,88208187169215i</v>
      </c>
      <c r="R94" s="4">
        <f t="shared" si="117"/>
        <v>3.0506386077568295</v>
      </c>
      <c r="S94" s="4">
        <f t="shared" si="118"/>
        <v>1.2368221301703195</v>
      </c>
      <c r="T94" s="4" t="str">
        <f t="shared" si="105"/>
        <v>1+0,00723119151888234i</v>
      </c>
      <c r="U94" s="4">
        <f t="shared" si="119"/>
        <v>1.0000261447236181</v>
      </c>
      <c r="V94" s="4">
        <f t="shared" si="120"/>
        <v>7.231065482853169E-3</v>
      </c>
      <c r="W94" t="str">
        <f t="shared" si="106"/>
        <v>1-0,00143876806460407i</v>
      </c>
      <c r="X94" s="4">
        <f t="shared" si="121"/>
        <v>1.0000010350262363</v>
      </c>
      <c r="Y94" s="4">
        <f t="shared" si="122"/>
        <v>-1.4387670718296595E-3</v>
      </c>
      <c r="Z94" t="str">
        <f t="shared" si="107"/>
        <v>0,999999986754755+0,000197675095259167i</v>
      </c>
      <c r="AA94" s="4">
        <f t="shared" si="123"/>
        <v>1.0000000062924765</v>
      </c>
      <c r="AB94" s="4">
        <f t="shared" si="124"/>
        <v>1.9767509530267476E-4</v>
      </c>
      <c r="AC94" s="47" t="str">
        <f t="shared" si="125"/>
        <v>5,9650546133954-16,886125708506i</v>
      </c>
      <c r="AD94" s="20">
        <f t="shared" si="126"/>
        <v>25.061302653576291</v>
      </c>
      <c r="AE94" s="43">
        <f t="shared" si="127"/>
        <v>-70.544139763183182</v>
      </c>
      <c r="AF94" t="str">
        <f t="shared" si="108"/>
        <v>171,265703090588</v>
      </c>
      <c r="AG94" t="str">
        <f t="shared" si="109"/>
        <v>1+2,85450029792686i</v>
      </c>
      <c r="AH94">
        <f t="shared" si="128"/>
        <v>3.0245945101557883</v>
      </c>
      <c r="AI94">
        <f t="shared" si="129"/>
        <v>1.2338328834063197</v>
      </c>
      <c r="AJ94" t="str">
        <f t="shared" si="110"/>
        <v>1+0,00723119151888234i</v>
      </c>
      <c r="AK94">
        <f t="shared" si="130"/>
        <v>1.0000261447236181</v>
      </c>
      <c r="AL94">
        <f t="shared" si="131"/>
        <v>7.231065482853169E-3</v>
      </c>
      <c r="AM94" t="str">
        <f t="shared" si="111"/>
        <v>1-0,000454556534233193i</v>
      </c>
      <c r="AN94">
        <f t="shared" si="132"/>
        <v>1.0000001033108161</v>
      </c>
      <c r="AO94">
        <f t="shared" si="133"/>
        <v>-4.5455650292612425E-4</v>
      </c>
      <c r="AP94" s="41" t="str">
        <f t="shared" si="134"/>
        <v>19,0835081300958-53,3132744876139i</v>
      </c>
      <c r="AQ94">
        <f t="shared" si="135"/>
        <v>35.060292829339225</v>
      </c>
      <c r="AR94" s="43">
        <f t="shared" si="136"/>
        <v>-70.305151479256764</v>
      </c>
      <c r="AS94" t="str">
        <f t="shared" si="112"/>
        <v>-0,0000166666666666667</v>
      </c>
      <c r="AT94" t="str">
        <f t="shared" si="113"/>
        <v>5,50293674586946E-07i</v>
      </c>
      <c r="AU94">
        <f t="shared" si="137"/>
        <v>5.5029367458694595E-7</v>
      </c>
      <c r="AV94">
        <f t="shared" si="138"/>
        <v>1.5707963267948966</v>
      </c>
      <c r="AW94" t="str">
        <f t="shared" si="114"/>
        <v>1+0,00172465343058757i</v>
      </c>
      <c r="AX94">
        <f t="shared" si="139"/>
        <v>1.0000014872136218</v>
      </c>
      <c r="AY94">
        <f t="shared" si="140"/>
        <v>1.7246517206373001E-3</v>
      </c>
      <c r="AZ94" t="str">
        <f t="shared" si="115"/>
        <v>1+0,119314660061559i</v>
      </c>
      <c r="BA94">
        <f t="shared" si="141"/>
        <v>1.0070928398641334</v>
      </c>
      <c r="BB94">
        <f t="shared" si="142"/>
        <v>0.11875326020461446</v>
      </c>
      <c r="BC94" s="41" t="str">
        <f t="shared" si="143"/>
        <v>-3,56142130100187+30,2930007374662i</v>
      </c>
      <c r="BD94">
        <f t="shared" si="144"/>
        <v>29.686461824145262</v>
      </c>
      <c r="BE94" s="43">
        <f t="shared" si="145"/>
        <v>96.705245348420789</v>
      </c>
      <c r="BF94" s="41" t="str">
        <f t="shared" si="146"/>
        <v>490,287345978933+240,838011592282i</v>
      </c>
      <c r="BG94" s="20">
        <f t="shared" si="147"/>
        <v>54.747764477721546</v>
      </c>
      <c r="BH94" s="43">
        <f t="shared" si="148"/>
        <v>26.161105585237667</v>
      </c>
      <c r="BI94" s="41" t="str">
        <f t="shared" si="101"/>
        <v>1547,05465101766+767,967757244782i</v>
      </c>
      <c r="BJ94" s="20">
        <f t="shared" si="149"/>
        <v>64.746754653484487</v>
      </c>
      <c r="BK94" s="43">
        <f t="shared" si="102"/>
        <v>26.400093869164028</v>
      </c>
      <c r="BL94">
        <f t="shared" si="150"/>
        <v>54.747764477721546</v>
      </c>
      <c r="BM94" s="43">
        <f t="shared" si="151"/>
        <v>26.161105585237667</v>
      </c>
    </row>
    <row r="95" spans="14:65" x14ac:dyDescent="0.25">
      <c r="N95" s="9">
        <v>77</v>
      </c>
      <c r="O95" s="34">
        <f t="shared" si="116"/>
        <v>58.884365535558949</v>
      </c>
      <c r="P95" s="33" t="str">
        <f t="shared" si="103"/>
        <v>54,631621870174</v>
      </c>
      <c r="Q95" s="4" t="str">
        <f t="shared" si="104"/>
        <v>1+2,94921418248197i</v>
      </c>
      <c r="R95" s="4">
        <f t="shared" si="117"/>
        <v>3.1141394146943382</v>
      </c>
      <c r="S95" s="4">
        <f t="shared" si="118"/>
        <v>1.2438886632685147</v>
      </c>
      <c r="T95" s="4" t="str">
        <f t="shared" si="105"/>
        <v>1+0,00739962760711232i</v>
      </c>
      <c r="U95" s="4">
        <f t="shared" si="119"/>
        <v>1.0000273768696155</v>
      </c>
      <c r="V95" s="4">
        <f t="shared" si="120"/>
        <v>7.3994925572735855E-3</v>
      </c>
      <c r="W95" t="str">
        <f t="shared" si="106"/>
        <v>1-0,00147228127802668i</v>
      </c>
      <c r="X95" s="4">
        <f t="shared" si="121"/>
        <v>1.0000010838054934</v>
      </c>
      <c r="Y95" s="4">
        <f t="shared" si="122"/>
        <v>-1.4722802142497957E-3</v>
      </c>
      <c r="Z95" t="str">
        <f t="shared" si="107"/>
        <v>0,999999986130526+0,000202279539727136i</v>
      </c>
      <c r="AA95" s="4">
        <f t="shared" si="123"/>
        <v>1.0000000065890322</v>
      </c>
      <c r="AB95" s="4">
        <f t="shared" si="124"/>
        <v>2.0227953977375538E-4</v>
      </c>
      <c r="AC95" s="47" t="str">
        <f t="shared" si="125"/>
        <v>5,72855051300904-16,5819528630176i</v>
      </c>
      <c r="AD95" s="20">
        <f t="shared" si="126"/>
        <v>24.882367995522618</v>
      </c>
      <c r="AE95" s="43">
        <f t="shared" si="127"/>
        <v>-70.941556101833328</v>
      </c>
      <c r="AF95" t="str">
        <f t="shared" si="108"/>
        <v>171,265703090588</v>
      </c>
      <c r="AG95" t="str">
        <f t="shared" si="109"/>
        <v>1+2,92099015133188i</v>
      </c>
      <c r="AH95">
        <f t="shared" si="128"/>
        <v>3.0874234345450318</v>
      </c>
      <c r="AI95">
        <f t="shared" si="129"/>
        <v>1.2409531407315104</v>
      </c>
      <c r="AJ95" t="str">
        <f t="shared" si="110"/>
        <v>1+0,00739962760711232i</v>
      </c>
      <c r="AK95">
        <f t="shared" si="130"/>
        <v>1.0000273768696155</v>
      </c>
      <c r="AL95">
        <f t="shared" si="131"/>
        <v>7.3994925572735855E-3</v>
      </c>
      <c r="AM95" t="str">
        <f t="shared" si="111"/>
        <v>1-0,000465144516076253i</v>
      </c>
      <c r="AN95">
        <f t="shared" si="132"/>
        <v>1.0000001081797045</v>
      </c>
      <c r="AO95">
        <f t="shared" si="133"/>
        <v>-4.6514448253012465E-4</v>
      </c>
      <c r="AP95" s="41" t="str">
        <f t="shared" si="134"/>
        <v>18,331096480169-52,357313159532i</v>
      </c>
      <c r="AQ95">
        <f t="shared" si="135"/>
        <v>34.881722839191994</v>
      </c>
      <c r="AR95" s="43">
        <f t="shared" si="136"/>
        <v>-70.704068659062145</v>
      </c>
      <c r="AS95" t="str">
        <f t="shared" si="112"/>
        <v>-0,0000166666666666667</v>
      </c>
      <c r="AT95" t="str">
        <f t="shared" si="113"/>
        <v>5,63111660901248E-07i</v>
      </c>
      <c r="AU95">
        <f t="shared" si="137"/>
        <v>5.6311166090124804E-7</v>
      </c>
      <c r="AV95">
        <f t="shared" si="138"/>
        <v>1.5707963267948966</v>
      </c>
      <c r="AW95" t="str">
        <f t="shared" si="114"/>
        <v>1+0,00176482576963323i</v>
      </c>
      <c r="AX95">
        <f t="shared" si="139"/>
        <v>1.0000015573037859</v>
      </c>
      <c r="AY95">
        <f t="shared" si="140"/>
        <v>1.7648239373886589E-3</v>
      </c>
      <c r="AZ95" t="str">
        <f t="shared" si="115"/>
        <v>1+0,122093855517353i</v>
      </c>
      <c r="BA95">
        <f t="shared" si="141"/>
        <v>1.0074258829090565</v>
      </c>
      <c r="BB95">
        <f t="shared" si="142"/>
        <v>0.12149254395502486</v>
      </c>
      <c r="BC95" s="41" t="str">
        <f t="shared" si="143"/>
        <v>-3,56142080176144+29,6037307387757i</v>
      </c>
      <c r="BD95">
        <f t="shared" si="144"/>
        <v>29.489333142155488</v>
      </c>
      <c r="BE95" s="43">
        <f t="shared" si="145"/>
        <v>96.859893047734545</v>
      </c>
      <c r="BF95" s="41" t="str">
        <f t="shared" si="146"/>
        <v>470,485888718872+228,641778770774i</v>
      </c>
      <c r="BG95" s="20">
        <f t="shared" si="147"/>
        <v>54.371701137678102</v>
      </c>
      <c r="BH95" s="43">
        <f t="shared" si="148"/>
        <v>25.918336945901277</v>
      </c>
      <c r="BI95" s="41" t="str">
        <f t="shared" si="101"/>
        <v>1484,68705265697+729,135268556137i</v>
      </c>
      <c r="BJ95" s="20">
        <f t="shared" si="149"/>
        <v>64.371055981347467</v>
      </c>
      <c r="BK95" s="43">
        <f t="shared" si="102"/>
        <v>26.155824388672439</v>
      </c>
      <c r="BL95">
        <f t="shared" si="150"/>
        <v>54.371701137678102</v>
      </c>
      <c r="BM95" s="43">
        <f t="shared" si="151"/>
        <v>25.918336945901277</v>
      </c>
    </row>
    <row r="96" spans="14:65" x14ac:dyDescent="0.25">
      <c r="N96" s="9">
        <v>78</v>
      </c>
      <c r="O96" s="34">
        <f t="shared" si="116"/>
        <v>60.255958607435822</v>
      </c>
      <c r="P96" s="33" t="str">
        <f t="shared" si="103"/>
        <v>54,631621870174</v>
      </c>
      <c r="Q96" s="4" t="str">
        <f t="shared" si="104"/>
        <v>1+3,01791020566882i</v>
      </c>
      <c r="R96" s="4">
        <f t="shared" si="117"/>
        <v>3.179273817946485</v>
      </c>
      <c r="S96" s="4">
        <f t="shared" si="118"/>
        <v>1.2508272192466703</v>
      </c>
      <c r="T96" s="4" t="str">
        <f t="shared" si="105"/>
        <v>1+0,00757198707584524i</v>
      </c>
      <c r="U96" s="4">
        <f t="shared" si="119"/>
        <v>1.0000286670832377</v>
      </c>
      <c r="V96" s="4">
        <f t="shared" si="120"/>
        <v>7.5718423675599084E-3</v>
      </c>
      <c r="W96" t="str">
        <f t="shared" si="106"/>
        <v>1-0,00150657511447086i</v>
      </c>
      <c r="X96" s="4">
        <f t="shared" si="121"/>
        <v>1.0000011348836437</v>
      </c>
      <c r="Y96" s="4">
        <f t="shared" si="122"/>
        <v>-1.506573974613462E-3</v>
      </c>
      <c r="Z96" t="str">
        <f t="shared" si="107"/>
        <v>0,999999985476878+0,000206991235484554i</v>
      </c>
      <c r="AA96" s="4">
        <f t="shared" si="123"/>
        <v>1.0000000068995638</v>
      </c>
      <c r="AB96" s="4">
        <f t="shared" si="124"/>
        <v>2.0699123553450749E-4</v>
      </c>
      <c r="AC96" s="47" t="str">
        <f t="shared" si="125"/>
        <v>5,50053503296526-16,2800659250025i</v>
      </c>
      <c r="AD96" s="20">
        <f t="shared" si="126"/>
        <v>24.702581997667213</v>
      </c>
      <c r="AE96" s="43">
        <f t="shared" si="127"/>
        <v>-71.331466006581479</v>
      </c>
      <c r="AF96" t="str">
        <f t="shared" si="108"/>
        <v>171,265703090588</v>
      </c>
      <c r="AG96" t="str">
        <f t="shared" si="109"/>
        <v>1+2,98902875237901i</v>
      </c>
      <c r="AH96">
        <f t="shared" si="128"/>
        <v>3.151871330265311</v>
      </c>
      <c r="AI96">
        <f t="shared" si="129"/>
        <v>1.2479450251079369</v>
      </c>
      <c r="AJ96" t="str">
        <f t="shared" si="110"/>
        <v>1+0,00757198707584524i</v>
      </c>
      <c r="AK96">
        <f t="shared" si="130"/>
        <v>1.0000286670832377</v>
      </c>
      <c r="AL96">
        <f t="shared" si="131"/>
        <v>7.5718423675599084E-3</v>
      </c>
      <c r="AM96" t="str">
        <f t="shared" si="111"/>
        <v>1-0,000475979123698652i</v>
      </c>
      <c r="AN96">
        <f t="shared" si="132"/>
        <v>1.0000001132780567</v>
      </c>
      <c r="AO96">
        <f t="shared" si="133"/>
        <v>-4.7597908775332806E-4</v>
      </c>
      <c r="AP96" s="41" t="str">
        <f t="shared" si="134"/>
        <v>17,6055706635358-51,4082541242882i</v>
      </c>
      <c r="AQ96">
        <f t="shared" si="135"/>
        <v>34.702288418163</v>
      </c>
      <c r="AR96" s="43">
        <f t="shared" si="136"/>
        <v>-71.095419985097593</v>
      </c>
      <c r="AS96" t="str">
        <f t="shared" si="112"/>
        <v>-0,0000166666666666667</v>
      </c>
      <c r="AT96" t="str">
        <f t="shared" si="113"/>
        <v>5,76228216471823E-07i</v>
      </c>
      <c r="AU96">
        <f t="shared" si="137"/>
        <v>5.7622821647182303E-7</v>
      </c>
      <c r="AV96">
        <f t="shared" si="138"/>
        <v>1.5707963267948966</v>
      </c>
      <c r="AW96" t="str">
        <f t="shared" si="114"/>
        <v>1+0,00180593384266217i</v>
      </c>
      <c r="AX96">
        <f t="shared" si="139"/>
        <v>1.0000016306971924</v>
      </c>
      <c r="AY96">
        <f t="shared" si="140"/>
        <v>1.8059318793769131E-3</v>
      </c>
      <c r="AZ96" t="str">
        <f t="shared" si="115"/>
        <v>1+0,124937786751446i</v>
      </c>
      <c r="BA96">
        <f t="shared" si="141"/>
        <v>1.0077745038243178</v>
      </c>
      <c r="BB96">
        <f t="shared" si="142"/>
        <v>0.12429373795614224</v>
      </c>
      <c r="BC96" s="41" t="str">
        <f t="shared" si="143"/>
        <v>-3,56142027899269+28,9301570298916i</v>
      </c>
      <c r="BD96">
        <f t="shared" si="144"/>
        <v>29.292337747071812</v>
      </c>
      <c r="BE96" s="43">
        <f t="shared" si="145"/>
        <v>97.01803433001551</v>
      </c>
      <c r="BF96" s="41" t="str">
        <f t="shared" si="146"/>
        <v>451,395146655598+217,111499180747i</v>
      </c>
      <c r="BG96" s="20">
        <f t="shared" si="147"/>
        <v>53.994919744739036</v>
      </c>
      <c r="BH96" s="43">
        <f t="shared" si="148"/>
        <v>25.686568323434042</v>
      </c>
      <c r="BI96" s="41" t="str">
        <f t="shared" si="101"/>
        <v>1424,54802806387+692,418322642793i</v>
      </c>
      <c r="BJ96" s="20">
        <f t="shared" si="149"/>
        <v>63.994626165234791</v>
      </c>
      <c r="BK96" s="43">
        <f t="shared" si="102"/>
        <v>25.922614344917999</v>
      </c>
      <c r="BL96">
        <f t="shared" si="150"/>
        <v>53.994919744739036</v>
      </c>
      <c r="BM96" s="43">
        <f t="shared" si="151"/>
        <v>25.686568323434042</v>
      </c>
    </row>
    <row r="97" spans="14:65" x14ac:dyDescent="0.25">
      <c r="N97" s="9">
        <v>79</v>
      </c>
      <c r="O97" s="34">
        <f t="shared" si="116"/>
        <v>61.659500186148257</v>
      </c>
      <c r="P97" s="33" t="str">
        <f t="shared" si="103"/>
        <v>54,631621870174</v>
      </c>
      <c r="Q97" s="4" t="str">
        <f t="shared" si="104"/>
        <v>1+3,08820636479347i</v>
      </c>
      <c r="R97" s="4">
        <f t="shared" si="117"/>
        <v>3.2460774099751384</v>
      </c>
      <c r="S97" s="4">
        <f t="shared" si="118"/>
        <v>1.2576388037532016</v>
      </c>
      <c r="T97" s="4" t="str">
        <f t="shared" si="105"/>
        <v>1+0,00774836131235288i</v>
      </c>
      <c r="U97" s="4">
        <f t="shared" si="119"/>
        <v>1.0000300181009703</v>
      </c>
      <c r="V97" s="4">
        <f t="shared" si="120"/>
        <v>7.7482062548828966E-3</v>
      </c>
      <c r="W97" t="str">
        <f t="shared" si="106"/>
        <v>1-0,00154166775698261i</v>
      </c>
      <c r="X97" s="4">
        <f t="shared" si="121"/>
        <v>1.0000011883690303</v>
      </c>
      <c r="Y97" s="4">
        <f t="shared" si="122"/>
        <v>-1.5416665356034812E-3</v>
      </c>
      <c r="Z97" t="str">
        <f t="shared" si="107"/>
        <v>0,999999984792424+0,00021181268073488i</v>
      </c>
      <c r="AA97" s="4">
        <f t="shared" si="123"/>
        <v>1.0000000072247299</v>
      </c>
      <c r="AB97" s="4">
        <f t="shared" si="124"/>
        <v>2.118126807884062E-4</v>
      </c>
      <c r="AC97" s="47" t="str">
        <f t="shared" si="125"/>
        <v>5,28078816661403-15,9806537102808i</v>
      </c>
      <c r="AD97" s="20">
        <f t="shared" si="126"/>
        <v>24.521975418042853</v>
      </c>
      <c r="AE97" s="43">
        <f t="shared" si="127"/>
        <v>-71.71392304830151</v>
      </c>
      <c r="AF97" t="str">
        <f t="shared" si="108"/>
        <v>171,265703090588</v>
      </c>
      <c r="AG97" t="str">
        <f t="shared" si="109"/>
        <v>1+3,05865217603513i</v>
      </c>
      <c r="AH97">
        <f t="shared" si="128"/>
        <v>3.2179734514076457</v>
      </c>
      <c r="AI97">
        <f t="shared" si="129"/>
        <v>1.2548095083560342</v>
      </c>
      <c r="AJ97" t="str">
        <f t="shared" si="110"/>
        <v>1+0,00774836131235288i</v>
      </c>
      <c r="AK97">
        <f t="shared" si="130"/>
        <v>1.0000300181009703</v>
      </c>
      <c r="AL97">
        <f t="shared" si="131"/>
        <v>7.7482062548828966E-3</v>
      </c>
      <c r="AM97" t="str">
        <f t="shared" si="111"/>
        <v>1-0,000487066101752766i</v>
      </c>
      <c r="AN97">
        <f t="shared" si="132"/>
        <v>1.0000001186166867</v>
      </c>
      <c r="AO97">
        <f t="shared" si="133"/>
        <v>-4.8706606323665775E-4</v>
      </c>
      <c r="AP97" s="41" t="str">
        <f t="shared" si="134"/>
        <v>16,9062435772538-50,4667078765557i</v>
      </c>
      <c r="AQ97">
        <f t="shared" si="135"/>
        <v>34.522020659913252</v>
      </c>
      <c r="AR97" s="43">
        <f t="shared" si="136"/>
        <v>-71.479256234252489</v>
      </c>
      <c r="AS97" t="str">
        <f t="shared" si="112"/>
        <v>-0,0000166666666666667</v>
      </c>
      <c r="AT97" t="str">
        <f t="shared" si="113"/>
        <v>5,89650295870054E-07i</v>
      </c>
      <c r="AU97">
        <f t="shared" si="137"/>
        <v>5.8965029587005398E-7</v>
      </c>
      <c r="AV97">
        <f t="shared" si="138"/>
        <v>1.5707963267948966</v>
      </c>
      <c r="AW97" t="str">
        <f t="shared" si="114"/>
        <v>1+0,00184799944571885i</v>
      </c>
      <c r="AX97">
        <f t="shared" si="139"/>
        <v>1.0000017075495178</v>
      </c>
      <c r="AY97">
        <f t="shared" si="140"/>
        <v>1.8479973420209895E-3</v>
      </c>
      <c r="AZ97" t="str">
        <f t="shared" si="115"/>
        <v>1+0,127847961653823i</v>
      </c>
      <c r="BA97">
        <f t="shared" si="141"/>
        <v>1.0081394255255756</v>
      </c>
      <c r="BB97">
        <f t="shared" si="142"/>
        <v>0.12715815150322993</v>
      </c>
      <c r="BC97" s="41" t="str">
        <f t="shared" si="143"/>
        <v>-3,56141973158682+28,2719224731116i</v>
      </c>
      <c r="BD97">
        <f t="shared" si="144"/>
        <v>29.09548172734889</v>
      </c>
      <c r="BE97" s="43">
        <f t="shared" si="145"/>
        <v>97.179742963570959</v>
      </c>
      <c r="BF97" s="41" t="str">
        <f t="shared" si="146"/>
        <v>432,996699591793+206,211849090887i</v>
      </c>
      <c r="BG97" s="20">
        <f t="shared" si="147"/>
        <v>53.617457145391747</v>
      </c>
      <c r="BH97" s="43">
        <f t="shared" si="148"/>
        <v>25.465819915269414</v>
      </c>
      <c r="BI97" s="41" t="str">
        <f t="shared" si="101"/>
        <v>1366,58062309611+657,705136947454i</v>
      </c>
      <c r="BJ97" s="20">
        <f t="shared" si="149"/>
        <v>63.617502387262149</v>
      </c>
      <c r="BK97" s="43">
        <f t="shared" si="102"/>
        <v>25.700486729318467</v>
      </c>
      <c r="BL97">
        <f t="shared" si="150"/>
        <v>53.617457145391747</v>
      </c>
      <c r="BM97" s="43">
        <f t="shared" si="151"/>
        <v>25.465819915269414</v>
      </c>
    </row>
    <row r="98" spans="14:65" x14ac:dyDescent="0.25">
      <c r="N98" s="9">
        <v>80</v>
      </c>
      <c r="O98" s="34">
        <f t="shared" si="116"/>
        <v>63.095734448019364</v>
      </c>
      <c r="P98" s="33" t="str">
        <f t="shared" si="103"/>
        <v>54,631621870174</v>
      </c>
      <c r="Q98" s="4" t="str">
        <f t="shared" si="104"/>
        <v>1+3,16013993180998i</v>
      </c>
      <c r="R98" s="4">
        <f t="shared" si="117"/>
        <v>3.3145866090087286</v>
      </c>
      <c r="S98" s="4">
        <f t="shared" si="118"/>
        <v>1.2643244991808489</v>
      </c>
      <c r="T98" s="4" t="str">
        <f t="shared" si="105"/>
        <v>1+0,00792884383259i</v>
      </c>
      <c r="U98" s="4">
        <f t="shared" si="119"/>
        <v>1.0000314327882507</v>
      </c>
      <c r="V98" s="4">
        <f t="shared" si="120"/>
        <v>7.9286776857995407E-3</v>
      </c>
      <c r="W98" t="str">
        <f t="shared" si="106"/>
        <v>1-0,00157757781214549i</v>
      </c>
      <c r="X98" s="4">
        <f t="shared" si="121"/>
        <v>1.0000012443751025</v>
      </c>
      <c r="Y98" s="4">
        <f t="shared" si="122"/>
        <v>-1.5775765034142621E-3</v>
      </c>
      <c r="Z98" t="str">
        <f t="shared" si="107"/>
        <v>0,999999984075713+0,000216746431872203i</v>
      </c>
      <c r="AA98" s="4">
        <f t="shared" si="123"/>
        <v>1.0000000075652209</v>
      </c>
      <c r="AB98" s="4">
        <f t="shared" si="124"/>
        <v>2.1674643192955736E-4</v>
      </c>
      <c r="AC98" s="47" t="str">
        <f t="shared" si="125"/>
        <v>5,06908867496101-15,6838909438224i</v>
      </c>
      <c r="AD98" s="20">
        <f t="shared" si="126"/>
        <v>24.340578206377682</v>
      </c>
      <c r="AE98" s="43">
        <f t="shared" si="127"/>
        <v>-72.088985100817027</v>
      </c>
      <c r="AF98" t="str">
        <f t="shared" si="108"/>
        <v>171,265703090588</v>
      </c>
      <c r="AG98" t="str">
        <f t="shared" si="109"/>
        <v>1+3,12989733756102i</v>
      </c>
      <c r="AH98">
        <f t="shared" si="128"/>
        <v>3.2857658686631286</v>
      </c>
      <c r="AI98">
        <f t="shared" si="129"/>
        <v>1.2615476415414546</v>
      </c>
      <c r="AJ98" t="str">
        <f t="shared" si="110"/>
        <v>1+0,00792884383259i</v>
      </c>
      <c r="AK98">
        <f t="shared" si="130"/>
        <v>1.0000314327882507</v>
      </c>
      <c r="AL98">
        <f t="shared" si="131"/>
        <v>7.9286776857995407E-3</v>
      </c>
      <c r="AM98" t="str">
        <f t="shared" si="111"/>
        <v>1-0,000498411328701109i</v>
      </c>
      <c r="AN98">
        <f t="shared" si="132"/>
        <v>1.0000001242069185</v>
      </c>
      <c r="AO98">
        <f t="shared" si="133"/>
        <v>-4.984112874303557E-4</v>
      </c>
      <c r="AP98" s="41" t="str">
        <f t="shared" si="134"/>
        <v>16,2324232918335-49,5332401962274i</v>
      </c>
      <c r="AQ98">
        <f t="shared" si="135"/>
        <v>34.340949851882108</v>
      </c>
      <c r="AR98" s="43">
        <f t="shared" si="136"/>
        <v>-71.855632609723742</v>
      </c>
      <c r="AS98" t="str">
        <f t="shared" si="112"/>
        <v>-0,0000166666666666667</v>
      </c>
      <c r="AT98" t="str">
        <f t="shared" si="113"/>
        <v>6,03385015660099E-07i</v>
      </c>
      <c r="AU98">
        <f t="shared" si="137"/>
        <v>6.03385015660099E-7</v>
      </c>
      <c r="AV98">
        <f t="shared" si="138"/>
        <v>1.5707963267948966</v>
      </c>
      <c r="AW98" t="str">
        <f t="shared" si="114"/>
        <v>1+0,00189104488254282i</v>
      </c>
      <c r="AX98">
        <f t="shared" si="139"/>
        <v>1.0000017880237753</v>
      </c>
      <c r="AY98">
        <f t="shared" si="140"/>
        <v>1.8910426283901677E-3</v>
      </c>
      <c r="AZ98" t="str">
        <f t="shared" si="115"/>
        <v>1+0,130825923237735i</v>
      </c>
      <c r="BA98">
        <f t="shared" si="141"/>
        <v>1.0085214039330082</v>
      </c>
      <c r="BB98">
        <f t="shared" si="142"/>
        <v>0.13008711522895564</v>
      </c>
      <c r="BC98" s="41" t="str">
        <f t="shared" si="143"/>
        <v>-3,56141915838264+27,6286780637546i</v>
      </c>
      <c r="BD98">
        <f t="shared" si="144"/>
        <v>28.898771440195144</v>
      </c>
      <c r="BE98" s="43">
        <f t="shared" si="145"/>
        <v>97.345093910165076</v>
      </c>
      <c r="BF98" s="41" t="str">
        <f t="shared" si="146"/>
        <v>415,272024151359+195,909128762435i</v>
      </c>
      <c r="BG98" s="20">
        <f t="shared" si="147"/>
        <v>53.239349646572826</v>
      </c>
      <c r="BH98" s="43">
        <f t="shared" si="148"/>
        <v>25.25610880934801</v>
      </c>
      <c r="BI98" s="41" t="str">
        <f t="shared" si="101"/>
        <v>1310,72748353768+624,889027936273i</v>
      </c>
      <c r="BJ98" s="20">
        <f t="shared" si="149"/>
        <v>63.239721292077242</v>
      </c>
      <c r="BK98" s="43">
        <f t="shared" si="102"/>
        <v>25.489461300441398</v>
      </c>
      <c r="BL98">
        <f t="shared" si="150"/>
        <v>53.239349646572826</v>
      </c>
      <c r="BM98" s="43">
        <f t="shared" si="151"/>
        <v>25.25610880934801</v>
      </c>
    </row>
    <row r="99" spans="14:65" x14ac:dyDescent="0.25">
      <c r="N99" s="9">
        <v>81</v>
      </c>
      <c r="O99" s="34">
        <f t="shared" si="116"/>
        <v>64.565422903465588</v>
      </c>
      <c r="P99" s="33" t="str">
        <f t="shared" si="103"/>
        <v>54,631621870174</v>
      </c>
      <c r="Q99" s="4" t="str">
        <f t="shared" si="104"/>
        <v>1+3,23374904684773i</v>
      </c>
      <c r="R99" s="4">
        <f t="shared" si="117"/>
        <v>3.3848386812355771</v>
      </c>
      <c r="S99" s="4">
        <f t="shared" si="118"/>
        <v>1.2708854588093164</v>
      </c>
      <c r="T99" s="4" t="str">
        <f t="shared" si="105"/>
        <v>1+0,00811353033077782i</v>
      </c>
      <c r="U99" s="4">
        <f t="shared" si="119"/>
        <v>1.0000329141455437</v>
      </c>
      <c r="V99" s="4">
        <f t="shared" si="120"/>
        <v>8.1133523016008041E-3</v>
      </c>
      <c r="W99" t="str">
        <f t="shared" si="106"/>
        <v>1-0,00161432431994608i</v>
      </c>
      <c r="X99" s="4">
        <f t="shared" si="121"/>
        <v>1.000001303020656</v>
      </c>
      <c r="Y99" s="4">
        <f t="shared" si="122"/>
        <v>-1.6143229176154028E-3</v>
      </c>
      <c r="Z99" t="str">
        <f t="shared" si="107"/>
        <v>0,999999983325225+0,000221795104836683i</v>
      </c>
      <c r="AA99" s="4">
        <f t="shared" si="123"/>
        <v>1.0000000079217595</v>
      </c>
      <c r="AB99" s="4">
        <f t="shared" si="124"/>
        <v>2.2179510489813919E-4</v>
      </c>
      <c r="AC99" s="47" t="str">
        <f t="shared" si="125"/>
        <v>4,86521478497784-15,3899387047528i</v>
      </c>
      <c r="AD99" s="20">
        <f t="shared" si="126"/>
        <v>24.158419500927522</v>
      </c>
      <c r="AE99" s="43">
        <f t="shared" si="127"/>
        <v>-72.456714003114513</v>
      </c>
      <c r="AF99" t="str">
        <f t="shared" si="108"/>
        <v>171,265703090588</v>
      </c>
      <c r="AG99" t="str">
        <f t="shared" si="109"/>
        <v>1+3,20280201208438i</v>
      </c>
      <c r="AH99">
        <f t="shared" si="128"/>
        <v>3.3552854913720465</v>
      </c>
      <c r="AI99">
        <f t="shared" si="129"/>
        <v>1.2681605490400907</v>
      </c>
      <c r="AJ99" t="str">
        <f t="shared" si="110"/>
        <v>1+0,00811353033077782i</v>
      </c>
      <c r="AK99">
        <f t="shared" si="130"/>
        <v>1.0000329141455437</v>
      </c>
      <c r="AL99">
        <f t="shared" si="131"/>
        <v>8.1133523016008041E-3</v>
      </c>
      <c r="AM99" t="str">
        <f t="shared" si="111"/>
        <v>1-0,000510020819933184i</v>
      </c>
      <c r="AN99">
        <f t="shared" si="132"/>
        <v>1.0000001300606098</v>
      </c>
      <c r="AO99">
        <f t="shared" si="133"/>
        <v>-5.1002077571077537E-4</v>
      </c>
      <c r="AP99" s="41" t="str">
        <f t="shared" si="134"/>
        <v>15,5834153113673-48,6083735120631i</v>
      </c>
      <c r="AQ99">
        <f t="shared" si="135"/>
        <v>34.159105471030109</v>
      </c>
      <c r="AR99" s="43">
        <f t="shared" si="136"/>
        <v>-72.224608398318253</v>
      </c>
      <c r="AS99" t="str">
        <f t="shared" si="112"/>
        <v>-0,0000166666666666667</v>
      </c>
      <c r="AT99" t="str">
        <f t="shared" si="113"/>
        <v>6,17439658172193E-07i</v>
      </c>
      <c r="AU99">
        <f t="shared" si="137"/>
        <v>6.1743965817219299E-7</v>
      </c>
      <c r="AV99">
        <f t="shared" si="138"/>
        <v>1.5707963267948966</v>
      </c>
      <c r="AW99" t="str">
        <f t="shared" si="114"/>
        <v>1+0,00193509297639445i</v>
      </c>
      <c r="AX99">
        <f t="shared" si="139"/>
        <v>1.000001872290661</v>
      </c>
      <c r="AY99">
        <f t="shared" si="140"/>
        <v>1.9350905610266104E-3</v>
      </c>
      <c r="AZ99" t="str">
        <f t="shared" si="115"/>
        <v>1+0,133873250457834i</v>
      </c>
      <c r="BA99">
        <f t="shared" si="141"/>
        <v>1.0089212294268299</v>
      </c>
      <c r="BB99">
        <f t="shared" si="142"/>
        <v>0.1330819809851839</v>
      </c>
      <c r="BC99" s="41" t="str">
        <f t="shared" si="143"/>
        <v>-3,56141855816437+27,0000827451134i</v>
      </c>
      <c r="BD99">
        <f t="shared" si="144"/>
        <v>28.702213522549197</v>
      </c>
      <c r="BE99" s="43">
        <f t="shared" si="145"/>
        <v>97.514163317568872</v>
      </c>
      <c r="BF99" s="41" t="str">
        <f t="shared" si="146"/>
        <v>398,202552245873+186,17121507927i</v>
      </c>
      <c r="BG99" s="20">
        <f t="shared" si="147"/>
        <v>52.860633023476723</v>
      </c>
      <c r="BH99" s="43">
        <f t="shared" si="148"/>
        <v>25.057449314454441</v>
      </c>
      <c r="BI99" s="41" t="str">
        <f t="shared" si="101"/>
        <v>1256,9310424416+593,868266366431i</v>
      </c>
      <c r="BJ99" s="20">
        <f t="shared" si="149"/>
        <v>62.861318993579332</v>
      </c>
      <c r="BK99" s="43">
        <f t="shared" si="102"/>
        <v>25.289554919250556</v>
      </c>
      <c r="BL99">
        <f t="shared" si="150"/>
        <v>52.860633023476723</v>
      </c>
      <c r="BM99" s="43">
        <f t="shared" si="151"/>
        <v>25.057449314454441</v>
      </c>
    </row>
    <row r="100" spans="14:65" x14ac:dyDescent="0.25">
      <c r="N100" s="9">
        <v>82</v>
      </c>
      <c r="O100" s="34">
        <f t="shared" si="116"/>
        <v>66.069344800759623</v>
      </c>
      <c r="P100" s="33" t="str">
        <f t="shared" si="103"/>
        <v>54,631621870174</v>
      </c>
      <c r="Q100" s="4" t="str">
        <f t="shared" si="104"/>
        <v>1+3,30907273843385i</v>
      </c>
      <c r="R100" s="4">
        <f t="shared" si="117"/>
        <v>3.4568717633499362</v>
      </c>
      <c r="S100" s="4">
        <f t="shared" si="118"/>
        <v>1.277322901140264</v>
      </c>
      <c r="T100" s="4" t="str">
        <f t="shared" si="105"/>
        <v>1+0,0083025187301423i</v>
      </c>
      <c r="U100" s="4">
        <f t="shared" si="119"/>
        <v>1.0000344653147033</v>
      </c>
      <c r="V100" s="4">
        <f t="shared" si="120"/>
        <v>8.302327968797308E-3</v>
      </c>
      <c r="W100" t="str">
        <f t="shared" si="106"/>
        <v>1-0,00165192676386922i</v>
      </c>
      <c r="X100" s="4">
        <f t="shared" si="121"/>
        <v>1.0000013644300858</v>
      </c>
      <c r="Y100" s="4">
        <f t="shared" si="122"/>
        <v>-1.6519252612449378E-3</v>
      </c>
      <c r="Z100" t="str">
        <f t="shared" si="107"/>
        <v>0,999999982539367+0,000226961376501553i</v>
      </c>
      <c r="AA100" s="4">
        <f t="shared" si="123"/>
        <v>1.0000000082951002</v>
      </c>
      <c r="AB100" s="4">
        <f t="shared" si="124"/>
        <v>2.2696137656740451E-4</v>
      </c>
      <c r="AC100" s="47" t="str">
        <f t="shared" si="125"/>
        <v>4,66894483377844-15,0989448915177i</v>
      </c>
      <c r="AD100" s="20">
        <f t="shared" si="126"/>
        <v>23.975527627772173</v>
      </c>
      <c r="AE100" s="43">
        <f t="shared" si="127"/>
        <v>-72.81717523252793</v>
      </c>
      <c r="AF100" t="str">
        <f t="shared" si="108"/>
        <v>171,265703090588</v>
      </c>
      <c r="AG100" t="str">
        <f t="shared" si="109"/>
        <v>1+3,27740485462865i</v>
      </c>
      <c r="AH100">
        <f t="shared" si="128"/>
        <v>3.4265700899213258</v>
      </c>
      <c r="AI100">
        <f t="shared" si="129"/>
        <v>1.2746494227917045</v>
      </c>
      <c r="AJ100" t="str">
        <f t="shared" si="110"/>
        <v>1+0,0083025187301423i</v>
      </c>
      <c r="AK100">
        <f t="shared" si="130"/>
        <v>1.0000344653147033</v>
      </c>
      <c r="AL100">
        <f t="shared" si="131"/>
        <v>8.302327968797308E-3</v>
      </c>
      <c r="AM100" t="str">
        <f t="shared" si="111"/>
        <v>1-0,000521900730954912i</v>
      </c>
      <c r="AN100">
        <f t="shared" si="132"/>
        <v>1.0000001361901771</v>
      </c>
      <c r="AO100">
        <f t="shared" si="133"/>
        <v>-5.2190068356974784E-4</v>
      </c>
      <c r="AP100" s="41" t="str">
        <f t="shared" si="134"/>
        <v>14,9585246624534-47,692588334697i</v>
      </c>
      <c r="AQ100">
        <f t="shared" si="135"/>
        <v>33.976516182129323</v>
      </c>
      <c r="AR100" s="43">
        <f t="shared" si="136"/>
        <v>-72.586246638499162</v>
      </c>
      <c r="AS100" t="str">
        <f t="shared" si="112"/>
        <v>-0,0000166666666666667</v>
      </c>
      <c r="AT100" t="str">
        <f t="shared" si="113"/>
        <v>6,31821675363829E-07i</v>
      </c>
      <c r="AU100">
        <f t="shared" si="137"/>
        <v>6.3182167536382902E-7</v>
      </c>
      <c r="AV100">
        <f t="shared" si="138"/>
        <v>1.5707963267948966</v>
      </c>
      <c r="AW100" t="str">
        <f t="shared" si="114"/>
        <v>1+0,00198016708215615i</v>
      </c>
      <c r="AX100">
        <f t="shared" si="139"/>
        <v>1.0000019605289148</v>
      </c>
      <c r="AY100">
        <f t="shared" si="140"/>
        <v>1.9801644940431549E-3</v>
      </c>
      <c r="AZ100" t="str">
        <f t="shared" si="115"/>
        <v>1+0,136991559047348i</v>
      </c>
      <c r="BA100">
        <f t="shared" si="141"/>
        <v>1.0093397283621719</v>
      </c>
      <c r="BB100">
        <f t="shared" si="142"/>
        <v>0.13614412168266912</v>
      </c>
      <c r="BC100" s="41" t="str">
        <f t="shared" si="143"/>
        <v>-3,56141792965894+26,3858032276227i</v>
      </c>
      <c r="BD100">
        <f t="shared" si="144"/>
        <v>28.505814902420333</v>
      </c>
      <c r="BE100" s="43">
        <f t="shared" si="145"/>
        <v>97.687028509682136</v>
      </c>
      <c r="BF100" s="41" t="str">
        <f t="shared" si="146"/>
        <v>381,769725008698+176,967512720287i</v>
      </c>
      <c r="BG100" s="20">
        <f t="shared" si="147"/>
        <v>52.481342530192514</v>
      </c>
      <c r="BH100" s="43">
        <f t="shared" si="148"/>
        <v>24.86985327715422</v>
      </c>
      <c r="BI100" s="41" t="str">
        <f t="shared" si="101"/>
        <v>1205,13369328122+564,545927526069i</v>
      </c>
      <c r="BJ100" s="20">
        <f t="shared" si="149"/>
        <v>62.482331084549642</v>
      </c>
      <c r="BK100" s="43">
        <f t="shared" si="102"/>
        <v>25.100781871182992</v>
      </c>
      <c r="BL100">
        <f t="shared" si="150"/>
        <v>52.481342530192514</v>
      </c>
      <c r="BM100" s="43">
        <f t="shared" si="151"/>
        <v>24.86985327715422</v>
      </c>
    </row>
    <row r="101" spans="14:65" x14ac:dyDescent="0.25">
      <c r="N101" s="9">
        <v>83</v>
      </c>
      <c r="O101" s="34">
        <f t="shared" si="116"/>
        <v>67.60829753919819</v>
      </c>
      <c r="P101" s="33" t="str">
        <f t="shared" si="103"/>
        <v>54,631621870174</v>
      </c>
      <c r="Q101" s="4" t="str">
        <f t="shared" si="104"/>
        <v>1+3,38615094418665i</v>
      </c>
      <c r="R101" s="4">
        <f t="shared" si="117"/>
        <v>3.5307248854613613</v>
      </c>
      <c r="S101" s="4">
        <f t="shared" si="118"/>
        <v>1.2836381044321921</v>
      </c>
      <c r="T101" s="4" t="str">
        <f t="shared" si="105"/>
        <v>1+0,00849590923483432i</v>
      </c>
      <c r="U101" s="4">
        <f t="shared" si="119"/>
        <v>1.0000360895856342</v>
      </c>
      <c r="V101" s="4">
        <f t="shared" si="120"/>
        <v>8.4957048307688666E-3</v>
      </c>
      <c r="W101" t="str">
        <f t="shared" si="106"/>
        <v>1-0,0016904050812284i</v>
      </c>
      <c r="X101" s="4">
        <f t="shared" si="121"/>
        <v>1.0000014287336487</v>
      </c>
      <c r="Y101" s="4">
        <f t="shared" si="122"/>
        <v>-1.6904034711375973E-3</v>
      </c>
      <c r="Z101" t="str">
        <f t="shared" si="107"/>
        <v>0,999999981716472+0,000232247986092433i</v>
      </c>
      <c r="AA101" s="4">
        <f t="shared" si="123"/>
        <v>1.0000000086860357</v>
      </c>
      <c r="AB101" s="4">
        <f t="shared" si="124"/>
        <v>2.3224798616299435E-4</v>
      </c>
      <c r="AC101" s="47" t="str">
        <f t="shared" si="125"/>
        <v>4,48005786006587-14,8110447027299i</v>
      </c>
      <c r="AD101" s="20">
        <f t="shared" si="126"/>
        <v>23.791930102379929</v>
      </c>
      <c r="AE101" s="43">
        <f t="shared" si="127"/>
        <v>-73.170437589323811</v>
      </c>
      <c r="AF101" t="str">
        <f t="shared" si="108"/>
        <v>171,265703090588</v>
      </c>
      <c r="AG101" t="str">
        <f t="shared" si="109"/>
        <v>1+3,35374542060842i</v>
      </c>
      <c r="AH101">
        <f t="shared" si="128"/>
        <v>3.4996583185008143</v>
      </c>
      <c r="AI101">
        <f t="shared" si="129"/>
        <v>1.2810155167505333</v>
      </c>
      <c r="AJ101" t="str">
        <f t="shared" si="110"/>
        <v>1+0,00849590923483432i</v>
      </c>
      <c r="AK101">
        <f t="shared" si="130"/>
        <v>1.0000360895856342</v>
      </c>
      <c r="AL101">
        <f t="shared" si="131"/>
        <v>8.4957048307688666E-3</v>
      </c>
      <c r="AM101" t="str">
        <f t="shared" si="111"/>
        <v>1-0,000534057360652365i</v>
      </c>
      <c r="AN101">
        <f t="shared" si="132"/>
        <v>1.000000142608622</v>
      </c>
      <c r="AO101">
        <f t="shared" si="133"/>
        <v>-5.3405730987824719E-4</v>
      </c>
      <c r="AP101" s="41" t="str">
        <f t="shared" si="134"/>
        <v>14,3570578159482-46,7863247445118i</v>
      </c>
      <c r="AQ101">
        <f t="shared" si="135"/>
        <v>33.79320983840357</v>
      </c>
      <c r="AR101" s="43">
        <f t="shared" si="136"/>
        <v>-72.940613799657967</v>
      </c>
      <c r="AS101" t="str">
        <f t="shared" si="112"/>
        <v>-0,0000166666666666667</v>
      </c>
      <c r="AT101" t="str">
        <f t="shared" si="113"/>
        <v>6,46538692770891E-07i</v>
      </c>
      <c r="AU101">
        <f t="shared" si="137"/>
        <v>6.4653869277089097E-7</v>
      </c>
      <c r="AV101">
        <f t="shared" si="138"/>
        <v>1.5707963267948966</v>
      </c>
      <c r="AW101" t="str">
        <f t="shared" si="114"/>
        <v>1+0,00202629109871541i</v>
      </c>
      <c r="AX101">
        <f t="shared" si="139"/>
        <v>1.0000020529257012</v>
      </c>
      <c r="AY101">
        <f t="shared" si="140"/>
        <v>2.0262883255026789E-3</v>
      </c>
      <c r="AZ101" t="str">
        <f t="shared" si="115"/>
        <v>1+0,140182502374766i</v>
      </c>
      <c r="BA101">
        <f t="shared" si="141"/>
        <v>1.0097777646452963</v>
      </c>
      <c r="BB101">
        <f t="shared" si="142"/>
        <v>0.13927493108541888</v>
      </c>
      <c r="BC101" s="41" t="str">
        <f t="shared" si="143"/>
        <v>-3,56141727153317+25,7855138121434i</v>
      </c>
      <c r="BD101">
        <f t="shared" si="144"/>
        <v>28.309582810595625</v>
      </c>
      <c r="BE101" s="43">
        <f t="shared" si="145"/>
        <v>97.863767974041934</v>
      </c>
      <c r="BF101" s="41" t="str">
        <f t="shared" si="146"/>
        <v>365,955042314209+168,268904243682i</v>
      </c>
      <c r="BG101" s="20">
        <f t="shared" si="147"/>
        <v>52.101512912975565</v>
      </c>
      <c r="BH101" s="43">
        <f t="shared" si="148"/>
        <v>24.693330384718081</v>
      </c>
      <c r="BI101" s="41" t="str">
        <f t="shared" si="101"/>
        <v>1155,27794924492+536,829737631538i</v>
      </c>
      <c r="BJ101" s="20">
        <f t="shared" si="149"/>
        <v>62.102792648999213</v>
      </c>
      <c r="BK101" s="43">
        <f t="shared" si="102"/>
        <v>24.923154174383939</v>
      </c>
      <c r="BL101">
        <f t="shared" si="150"/>
        <v>52.101512912975565</v>
      </c>
      <c r="BM101" s="43">
        <f t="shared" si="151"/>
        <v>24.693330384718081</v>
      </c>
    </row>
    <row r="102" spans="14:65" x14ac:dyDescent="0.25">
      <c r="N102" s="9">
        <v>84</v>
      </c>
      <c r="O102" s="34">
        <f t="shared" si="116"/>
        <v>69.183097091893657</v>
      </c>
      <c r="P102" s="33" t="str">
        <f t="shared" si="103"/>
        <v>54,631621870174</v>
      </c>
      <c r="Q102" s="4" t="str">
        <f t="shared" si="104"/>
        <v>1+3,46502453199105i</v>
      </c>
      <c r="R102" s="4">
        <f t="shared" si="117"/>
        <v>3.6064379943789127</v>
      </c>
      <c r="S102" s="4">
        <f t="shared" si="118"/>
        <v>1.2898324014409659</v>
      </c>
      <c r="T102" s="4" t="str">
        <f t="shared" si="105"/>
        <v>1+0,0086938043830593i</v>
      </c>
      <c r="U102" s="4">
        <f t="shared" si="119"/>
        <v>1.0000377904032682</v>
      </c>
      <c r="V102" s="4">
        <f t="shared" si="120"/>
        <v>8.6935853606041093E-3</v>
      </c>
      <c r="W102" t="str">
        <f t="shared" si="106"/>
        <v>1-0,0017297796737368i</v>
      </c>
      <c r="X102" s="4">
        <f t="shared" si="121"/>
        <v>1.0000014960677406</v>
      </c>
      <c r="Y102" s="4">
        <f t="shared" si="122"/>
        <v>-1.7297779484935611E-3</v>
      </c>
      <c r="Z102" t="str">
        <f t="shared" si="107"/>
        <v>0,999999980854796+0,000237657736639705i</v>
      </c>
      <c r="AA102" s="4">
        <f t="shared" si="123"/>
        <v>1.000000009095396</v>
      </c>
      <c r="AB102" s="4">
        <f t="shared" si="124"/>
        <v>2.3765773671531278E-4</v>
      </c>
      <c r="AC102" s="47" t="str">
        <f t="shared" si="125"/>
        <v>4,29833414449509-14,5263611295797i</v>
      </c>
      <c r="AD102" s="20">
        <f t="shared" si="126"/>
        <v>23.607653633250717</v>
      </c>
      <c r="AE102" s="43">
        <f t="shared" si="127"/>
        <v>-73.516572893017653</v>
      </c>
      <c r="AF102" t="str">
        <f t="shared" si="108"/>
        <v>171,265703090588</v>
      </c>
      <c r="AG102" t="str">
        <f t="shared" si="109"/>
        <v>1+3,43186418680227i</v>
      </c>
      <c r="AH102">
        <f t="shared" si="128"/>
        <v>3.5745897382295508</v>
      </c>
      <c r="AI102">
        <f t="shared" si="129"/>
        <v>1.2872601415393508</v>
      </c>
      <c r="AJ102" t="str">
        <f t="shared" si="110"/>
        <v>1+0,0086938043830593i</v>
      </c>
      <c r="AK102">
        <f t="shared" si="130"/>
        <v>1.0000377904032682</v>
      </c>
      <c r="AL102">
        <f t="shared" si="131"/>
        <v>8.6935853606041093E-3</v>
      </c>
      <c r="AM102" t="str">
        <f t="shared" si="111"/>
        <v>1-0,00054649715463152i</v>
      </c>
      <c r="AN102">
        <f t="shared" si="132"/>
        <v>1.0000001493295589</v>
      </c>
      <c r="AO102">
        <f t="shared" si="133"/>
        <v>-5.4649710022607306E-4</v>
      </c>
      <c r="AP102" s="41" t="str">
        <f t="shared" si="134"/>
        <v>13,7783244464078-45,8899839209975i</v>
      </c>
      <c r="AQ102">
        <f t="shared" si="135"/>
        <v>33.609213484324826</v>
      </c>
      <c r="AR102" s="43">
        <f t="shared" si="136"/>
        <v>-73.287779472977576</v>
      </c>
      <c r="AS102" t="str">
        <f t="shared" si="112"/>
        <v>-0,0000166666666666667</v>
      </c>
      <c r="AT102" t="str">
        <f t="shared" si="113"/>
        <v>6,61598513550813E-07i</v>
      </c>
      <c r="AU102">
        <f t="shared" si="137"/>
        <v>6.6159851355081298E-7</v>
      </c>
      <c r="AV102">
        <f t="shared" si="138"/>
        <v>1.5707963267948966</v>
      </c>
      <c r="AW102" t="str">
        <f t="shared" si="114"/>
        <v>1+0,00207348948163635i</v>
      </c>
      <c r="AX102">
        <f t="shared" si="139"/>
        <v>1.0000021496770046</v>
      </c>
      <c r="AY102">
        <f t="shared" si="140"/>
        <v>2.0734865100857161E-3</v>
      </c>
      <c r="AZ102" t="str">
        <f t="shared" si="115"/>
        <v>1+0,143447772320478i</v>
      </c>
      <c r="BA102">
        <f t="shared" si="141"/>
        <v>1.0102362413731294</v>
      </c>
      <c r="BB102">
        <f t="shared" si="142"/>
        <v>0.14247582355628355</v>
      </c>
      <c r="BC102" s="41" t="str">
        <f t="shared" si="143"/>
        <v>-3,56141658239116+25,1988962172731i</v>
      </c>
      <c r="BD102">
        <f t="shared" si="144"/>
        <v>28.11352479271768</v>
      </c>
      <c r="BE102" s="43">
        <f t="shared" si="145"/>
        <v>98.044461346520421</v>
      </c>
      <c r="BF102" s="41" t="str">
        <f t="shared" si="146"/>
        <v>350,740108020046+160,047699422981i</v>
      </c>
      <c r="BG102" s="20">
        <f t="shared" si="147"/>
        <v>51.721178425968397</v>
      </c>
      <c r="BH102" s="43">
        <f t="shared" si="148"/>
        <v>24.527888453502797</v>
      </c>
      <c r="BI102" s="41" t="str">
        <f t="shared" si="101"/>
        <v>1107,30658907654+510,631917474851i</v>
      </c>
      <c r="BJ102" s="20">
        <f t="shared" si="149"/>
        <v>61.722738277042467</v>
      </c>
      <c r="BK102" s="43">
        <f t="shared" si="102"/>
        <v>24.756681873542945</v>
      </c>
      <c r="BL102">
        <f t="shared" si="150"/>
        <v>51.721178425968397</v>
      </c>
      <c r="BM102" s="43">
        <f t="shared" si="151"/>
        <v>24.527888453502797</v>
      </c>
    </row>
    <row r="103" spans="14:65" x14ac:dyDescent="0.25">
      <c r="N103" s="9">
        <v>85</v>
      </c>
      <c r="O103" s="34">
        <f t="shared" si="116"/>
        <v>70.794578438413865</v>
      </c>
      <c r="P103" s="33" t="str">
        <f t="shared" si="103"/>
        <v>54,631621870174</v>
      </c>
      <c r="Q103" s="4" t="str">
        <f t="shared" si="104"/>
        <v>1+3,54573532166735i</v>
      </c>
      <c r="R103" s="4">
        <f t="shared" si="117"/>
        <v>3.6840519772825502</v>
      </c>
      <c r="S103" s="4">
        <f t="shared" si="118"/>
        <v>1.2959071743700619</v>
      </c>
      <c r="T103" s="4" t="str">
        <f t="shared" si="105"/>
        <v>1+0,0088963091014443i</v>
      </c>
      <c r="U103" s="4">
        <f t="shared" si="119"/>
        <v>1.0000395713748673</v>
      </c>
      <c r="V103" s="4">
        <f t="shared" si="120"/>
        <v>8.8960744151568329E-3</v>
      </c>
      <c r="W103" t="str">
        <f t="shared" si="106"/>
        <v>1-0,00177007141832455i</v>
      </c>
      <c r="X103" s="4">
        <f t="shared" si="121"/>
        <v>1.000001566575186</v>
      </c>
      <c r="Y103" s="4">
        <f t="shared" si="122"/>
        <v>-1.7700695696932698E-3</v>
      </c>
      <c r="Z103" t="str">
        <f t="shared" si="107"/>
        <v>0,999999979952511+0,000243193496464716i</v>
      </c>
      <c r="AA103" s="4">
        <f t="shared" si="123"/>
        <v>1.0000000095240495</v>
      </c>
      <c r="AB103" s="4">
        <f t="shared" si="124"/>
        <v>2.4319349654573105E-4</v>
      </c>
      <c r="AC103" s="47" t="str">
        <f t="shared" si="125"/>
        <v>4,12355570079614-14,245005456039i</v>
      </c>
      <c r="AD103" s="20">
        <f t="shared" si="126"/>
        <v>23.422724127452387</v>
      </c>
      <c r="AE103" s="43">
        <f t="shared" si="127"/>
        <v>-73.855655690650849</v>
      </c>
      <c r="AF103" t="str">
        <f t="shared" si="108"/>
        <v>171,265703090588</v>
      </c>
      <c r="AG103" t="str">
        <f t="shared" si="109"/>
        <v>1+3,51180257281405i</v>
      </c>
      <c r="AH103">
        <f t="shared" si="128"/>
        <v>3.6514048406638482</v>
      </c>
      <c r="AI103">
        <f t="shared" si="129"/>
        <v>1.293384659311728</v>
      </c>
      <c r="AJ103" t="str">
        <f t="shared" si="110"/>
        <v>1+0,0088963091014443i</v>
      </c>
      <c r="AK103">
        <f t="shared" si="130"/>
        <v>1.0000395713748673</v>
      </c>
      <c r="AL103">
        <f t="shared" si="131"/>
        <v>8.8960744151568329E-3</v>
      </c>
      <c r="AM103" t="str">
        <f t="shared" si="111"/>
        <v>1-0,000559226708635807i</v>
      </c>
      <c r="AN103">
        <f t="shared" si="132"/>
        <v>1.0000001563672436</v>
      </c>
      <c r="AO103">
        <f t="shared" si="133"/>
        <v>-5.5922665033932071E-4</v>
      </c>
      <c r="AP103" s="41" t="str">
        <f t="shared" si="134"/>
        <v>13,2216390347533-45,0039297013369i</v>
      </c>
      <c r="AQ103">
        <f t="shared" si="135"/>
        <v>33.424553360380187</v>
      </c>
      <c r="AR103" s="43">
        <f t="shared" si="136"/>
        <v>-73.627816074160776</v>
      </c>
      <c r="AS103" t="str">
        <f t="shared" si="112"/>
        <v>-0,0000166666666666667</v>
      </c>
      <c r="AT103" t="str">
        <f t="shared" si="113"/>
        <v>6,77009122619911E-07i</v>
      </c>
      <c r="AU103">
        <f t="shared" si="137"/>
        <v>6.7700912261991101E-7</v>
      </c>
      <c r="AV103">
        <f t="shared" si="138"/>
        <v>1.5707963267948966</v>
      </c>
      <c r="AW103" t="str">
        <f t="shared" si="114"/>
        <v>1+0,00212178725612633i</v>
      </c>
      <c r="AX103">
        <f t="shared" si="139"/>
        <v>1.0000022509880466</v>
      </c>
      <c r="AY103">
        <f t="shared" si="140"/>
        <v>2.1217840720528466E-3</v>
      </c>
      <c r="AZ103" t="str">
        <f t="shared" si="115"/>
        <v>1+0,146789100173831i</v>
      </c>
      <c r="BA103">
        <f t="shared" si="141"/>
        <v>1.0107161025381177</v>
      </c>
      <c r="BB103">
        <f t="shared" si="142"/>
        <v>0.14574823375014992</v>
      </c>
      <c r="BC103" s="41" t="str">
        <f t="shared" si="143"/>
        <v>-3,56141586077117+24,6256394105892i</v>
      </c>
      <c r="BD103">
        <f t="shared" si="144"/>
        <v>27.917648721733791</v>
      </c>
      <c r="BE103" s="43">
        <f t="shared" si="145"/>
        <v>98.22918939300304</v>
      </c>
      <c r="BF103" s="41" t="str">
        <f t="shared" si="146"/>
        <v>336,106671086703+152,277584145194i</v>
      </c>
      <c r="BG103" s="20">
        <f t="shared" si="147"/>
        <v>51.340372849186167</v>
      </c>
      <c r="BH103" s="43">
        <f t="shared" si="148"/>
        <v>24.373533702352173</v>
      </c>
      <c r="BI103" s="41" t="str">
        <f t="shared" si="101"/>
        <v>1061,16278992087+485,869024322177i</v>
      </c>
      <c r="BJ103" s="20">
        <f t="shared" si="149"/>
        <v>61.342202082114014</v>
      </c>
      <c r="BK103" s="43">
        <f t="shared" si="102"/>
        <v>24.601373318842175</v>
      </c>
      <c r="BL103">
        <f t="shared" si="150"/>
        <v>51.340372849186167</v>
      </c>
      <c r="BM103" s="43">
        <f t="shared" si="151"/>
        <v>24.373533702352173</v>
      </c>
    </row>
    <row r="104" spans="14:65" x14ac:dyDescent="0.25">
      <c r="N104" s="9">
        <v>86</v>
      </c>
      <c r="O104" s="34">
        <f t="shared" si="116"/>
        <v>72.443596007499011</v>
      </c>
      <c r="P104" s="33" t="str">
        <f t="shared" si="103"/>
        <v>54,631621870174</v>
      </c>
      <c r="Q104" s="4" t="str">
        <f t="shared" si="104"/>
        <v>1+3,62832610714453i</v>
      </c>
      <c r="R104" s="4">
        <f t="shared" si="117"/>
        <v>3.7636086857943374</v>
      </c>
      <c r="S104" s="4">
        <f t="shared" si="118"/>
        <v>1.3018638500330684</v>
      </c>
      <c r="T104" s="4" t="str">
        <f t="shared" si="105"/>
        <v>1+0,00910353076067142i</v>
      </c>
      <c r="U104" s="4">
        <f t="shared" si="119"/>
        <v>1.0000414362776726</v>
      </c>
      <c r="V104" s="4">
        <f t="shared" si="120"/>
        <v>9.1032792903464714E-3</v>
      </c>
      <c r="W104" t="str">
        <f t="shared" si="106"/>
        <v>1-0,00181130167820797i</v>
      </c>
      <c r="X104" s="4">
        <f t="shared" si="121"/>
        <v>1.0000016404055394</v>
      </c>
      <c r="Y104" s="4">
        <f t="shared" si="122"/>
        <v>-1.8112996973640404E-3</v>
      </c>
      <c r="Z104" t="str">
        <f t="shared" si="107"/>
        <v>0,999999979007702+0,000248858200700597i</v>
      </c>
      <c r="AA104" s="4">
        <f t="shared" si="123"/>
        <v>1.0000000099729043</v>
      </c>
      <c r="AB104" s="4">
        <f t="shared" si="124"/>
        <v>2.4885820078740615E-4</v>
      </c>
      <c r="AC104" s="47" t="str">
        <f t="shared" si="125"/>
        <v>3,95550671965985-13,9670777634415i</v>
      </c>
      <c r="AD104" s="20">
        <f t="shared" si="126"/>
        <v>23.237166697875452</v>
      </c>
      <c r="AE104" s="43">
        <f t="shared" si="127"/>
        <v>-74.187762977176064</v>
      </c>
      <c r="AF104" t="str">
        <f t="shared" si="108"/>
        <v>171,265703090588</v>
      </c>
      <c r="AG104" t="str">
        <f t="shared" si="109"/>
        <v>1+3,59360296303413i</v>
      </c>
      <c r="AH104">
        <f t="shared" si="128"/>
        <v>3.7301450716999835</v>
      </c>
      <c r="AI104">
        <f t="shared" si="129"/>
        <v>1.2993904788256774</v>
      </c>
      <c r="AJ104" t="str">
        <f t="shared" si="110"/>
        <v>1+0,00910353076067142i</v>
      </c>
      <c r="AK104">
        <f t="shared" si="130"/>
        <v>1.0000414362776726</v>
      </c>
      <c r="AL104">
        <f t="shared" si="131"/>
        <v>9.1032792903464714E-3</v>
      </c>
      <c r="AM104" t="str">
        <f t="shared" si="111"/>
        <v>1-0,000572252772043251i</v>
      </c>
      <c r="AN104">
        <f t="shared" si="132"/>
        <v>1.0000001637366043</v>
      </c>
      <c r="AO104">
        <f t="shared" si="133"/>
        <v>-5.7225270957744117E-4</v>
      </c>
      <c r="AP104" s="41" t="str">
        <f t="shared" si="134"/>
        <v>12,6863223202419-44,1284901570436i</v>
      </c>
      <c r="AQ104">
        <f t="shared" si="135"/>
        <v>33.239254909628876</v>
      </c>
      <c r="AR104" s="43">
        <f t="shared" si="136"/>
        <v>-73.96079855820247</v>
      </c>
      <c r="AS104" t="str">
        <f t="shared" si="112"/>
        <v>-0,0000166666666666667</v>
      </c>
      <c r="AT104" t="str">
        <f t="shared" si="113"/>
        <v>6,92778690887096E-07i</v>
      </c>
      <c r="AU104">
        <f t="shared" si="137"/>
        <v>6.9277869088709596E-7</v>
      </c>
      <c r="AV104">
        <f t="shared" si="138"/>
        <v>1.5707963267948966</v>
      </c>
      <c r="AW104" t="str">
        <f t="shared" si="114"/>
        <v>1+0,00217121003030468i</v>
      </c>
      <c r="AX104">
        <f t="shared" si="139"/>
        <v>1.00000235707372</v>
      </c>
      <c r="AY104">
        <f t="shared" si="140"/>
        <v>2.1712066185089075E-3</v>
      </c>
      <c r="AZ104" t="str">
        <f t="shared" si="115"/>
        <v>1+0,150208257551078i</v>
      </c>
      <c r="BA104">
        <f t="shared" si="141"/>
        <v>1.0112183348004185</v>
      </c>
      <c r="BB104">
        <f t="shared" si="142"/>
        <v>0.14909361625093348</v>
      </c>
      <c r="BC104" s="41" t="str">
        <f t="shared" si="143"/>
        <v>-3,56141510514257+24,0654394437354i</v>
      </c>
      <c r="BD104">
        <f t="shared" si="144"/>
        <v>27.721962810717255</v>
      </c>
      <c r="BE104" s="43">
        <f t="shared" si="145"/>
        <v>98.418033987830142</v>
      </c>
      <c r="BF104" s="41" t="str">
        <f t="shared" si="146"/>
        <v>322,036662742155+144,933569152684i</v>
      </c>
      <c r="BG104" s="20">
        <f t="shared" si="147"/>
        <v>50.959129508592696</v>
      </c>
      <c r="BH104" s="43">
        <f t="shared" si="148"/>
        <v>24.230271010654082</v>
      </c>
      <c r="BI104" s="41" t="str">
        <f t="shared" si="101"/>
        <v>1016,79024767779+462,461792973921i</v>
      </c>
      <c r="BJ104" s="20">
        <f t="shared" si="149"/>
        <v>60.961217720346141</v>
      </c>
      <c r="BK104" s="43">
        <f t="shared" si="102"/>
        <v>24.457235429627687</v>
      </c>
      <c r="BL104">
        <f t="shared" si="150"/>
        <v>50.959129508592696</v>
      </c>
      <c r="BM104" s="43">
        <f t="shared" si="151"/>
        <v>24.230271010654082</v>
      </c>
    </row>
    <row r="105" spans="14:65" x14ac:dyDescent="0.25">
      <c r="N105" s="9">
        <v>87</v>
      </c>
      <c r="O105" s="34">
        <f t="shared" si="116"/>
        <v>74.131024130091816</v>
      </c>
      <c r="P105" s="33" t="str">
        <f t="shared" si="103"/>
        <v>54,631621870174</v>
      </c>
      <c r="Q105" s="4" t="str">
        <f t="shared" si="104"/>
        <v>1+3,71284067915032i</v>
      </c>
      <c r="R105" s="4">
        <f t="shared" si="117"/>
        <v>3.8451509604635046</v>
      </c>
      <c r="S105" s="4">
        <f t="shared" si="118"/>
        <v>1.3077038952296649</v>
      </c>
      <c r="T105" s="4" t="str">
        <f t="shared" si="105"/>
        <v>1+0,00931557923240736i</v>
      </c>
      <c r="U105" s="4">
        <f t="shared" si="119"/>
        <v>1.000043389066912</v>
      </c>
      <c r="V105" s="4">
        <f t="shared" si="120"/>
        <v>9.3153097777308926E-3</v>
      </c>
      <c r="W105" t="str">
        <f t="shared" si="106"/>
        <v>1-0,00185349231421659i</v>
      </c>
      <c r="X105" s="4">
        <f t="shared" si="121"/>
        <v>1.0000017177154041</v>
      </c>
      <c r="Y105" s="4">
        <f t="shared" si="122"/>
        <v>-1.8534901917042757E-3</v>
      </c>
      <c r="Z105" t="str">
        <f t="shared" si="107"/>
        <v>0,999999978018365+0,000254654852848519i</v>
      </c>
      <c r="AA105" s="4">
        <f t="shared" si="123"/>
        <v>1.0000000104429123</v>
      </c>
      <c r="AB105" s="4">
        <f t="shared" si="124"/>
        <v>2.5465485294153684E-4</v>
      </c>
      <c r="AC105" s="47" t="str">
        <f t="shared" si="125"/>
        <v>3,79397396750794-13,6926674363502i</v>
      </c>
      <c r="AD105" s="20">
        <f t="shared" si="126"/>
        <v>23.051005672034922</v>
      </c>
      <c r="AE105" s="43">
        <f t="shared" si="127"/>
        <v>-74.512973928016478</v>
      </c>
      <c r="AF105" t="str">
        <f t="shared" si="108"/>
        <v>171,265703090588</v>
      </c>
      <c r="AG105" t="str">
        <f t="shared" si="109"/>
        <v>1+3,67730872911219i</v>
      </c>
      <c r="AH105">
        <f t="shared" si="128"/>
        <v>3.8108528558847179</v>
      </c>
      <c r="AI105">
        <f t="shared" si="129"/>
        <v>1.3052790507304155</v>
      </c>
      <c r="AJ105" t="str">
        <f t="shared" si="110"/>
        <v>1+0,00931557923240736i</v>
      </c>
      <c r="AK105">
        <f t="shared" si="130"/>
        <v>1.000043389066912</v>
      </c>
      <c r="AL105">
        <f t="shared" si="131"/>
        <v>9.3153097777308926E-3</v>
      </c>
      <c r="AM105" t="str">
        <f t="shared" si="111"/>
        <v>1-0,000585582251445096i</v>
      </c>
      <c r="AN105">
        <f t="shared" si="132"/>
        <v>1.0000001714532718</v>
      </c>
      <c r="AO105">
        <f t="shared" si="133"/>
        <v>-5.855821845117754E-4</v>
      </c>
      <c r="AP105" s="41" t="str">
        <f t="shared" si="134"/>
        <v>12,1717026082493-43,2639591785495i</v>
      </c>
      <c r="AQ105">
        <f t="shared" si="135"/>
        <v>33.053342785876637</v>
      </c>
      <c r="AR105" s="43">
        <f t="shared" si="136"/>
        <v>-74.286804146304917</v>
      </c>
      <c r="AS105" t="str">
        <f t="shared" si="112"/>
        <v>-0,0000166666666666667</v>
      </c>
      <c r="AT105" t="str">
        <f t="shared" si="113"/>
        <v>7,08915579586201E-07i</v>
      </c>
      <c r="AU105">
        <f t="shared" si="137"/>
        <v>7.0891557958620098E-7</v>
      </c>
      <c r="AV105">
        <f t="shared" si="138"/>
        <v>1.5707963267948966</v>
      </c>
      <c r="AW105" t="str">
        <f t="shared" si="114"/>
        <v>1+0,00222178400878047i</v>
      </c>
      <c r="AX105">
        <f t="shared" si="139"/>
        <v>1.0000024681590449</v>
      </c>
      <c r="AY105">
        <f t="shared" si="140"/>
        <v>2.2217803529759215E-3</v>
      </c>
      <c r="AZ105" t="str">
        <f t="shared" si="115"/>
        <v>1+0,153707057334721i</v>
      </c>
      <c r="BA105">
        <f t="shared" si="141"/>
        <v>1.0117439693294441</v>
      </c>
      <c r="BB105">
        <f t="shared" si="142"/>
        <v>0.15251344514838369</v>
      </c>
      <c r="BC105" s="41" t="str">
        <f t="shared" si="143"/>
        <v>-3,56141431390267+23,5179992912637i</v>
      </c>
      <c r="BD105">
        <f t="shared" si="144"/>
        <v>27.526475626059487</v>
      </c>
      <c r="BE105" s="43">
        <f t="shared" si="145"/>
        <v>98.611078088771762</v>
      </c>
      <c r="BF105" s="41" t="str">
        <f t="shared" si="146"/>
        <v>308,512229869137+137,991938882251i</v>
      </c>
      <c r="BG105" s="20">
        <f t="shared" si="147"/>
        <v>50.577481298094405</v>
      </c>
      <c r="BH105" s="43">
        <f t="shared" si="148"/>
        <v>24.098104160755231</v>
      </c>
      <c r="BI105" s="41" t="str">
        <f t="shared" si="101"/>
        <v>974,133285404803+440,334976808867i</v>
      </c>
      <c r="BJ105" s="20">
        <f t="shared" si="149"/>
        <v>60.579818411936124</v>
      </c>
      <c r="BK105" s="43">
        <f t="shared" si="102"/>
        <v>24.324273942466885</v>
      </c>
      <c r="BL105">
        <f t="shared" si="150"/>
        <v>50.577481298094405</v>
      </c>
      <c r="BM105" s="43">
        <f t="shared" si="151"/>
        <v>24.098104160755231</v>
      </c>
    </row>
    <row r="106" spans="14:65" x14ac:dyDescent="0.25">
      <c r="N106" s="9">
        <v>88</v>
      </c>
      <c r="O106" s="34">
        <f t="shared" si="116"/>
        <v>75.857757502918361</v>
      </c>
      <c r="P106" s="33" t="str">
        <f t="shared" si="103"/>
        <v>54,631621870174</v>
      </c>
      <c r="Q106" s="4" t="str">
        <f t="shared" si="104"/>
        <v>1+3,79932384842943i</v>
      </c>
      <c r="R106" s="4">
        <f t="shared" si="117"/>
        <v>3.928722655678893</v>
      </c>
      <c r="S106" s="4">
        <f t="shared" si="118"/>
        <v>1.3134288123349809</v>
      </c>
      <c r="T106" s="4" t="str">
        <f t="shared" si="105"/>
        <v>1+0,00953256694755858i</v>
      </c>
      <c r="U106" s="4">
        <f t="shared" si="119"/>
        <v>1.000045433884186</v>
      </c>
      <c r="V106" s="4">
        <f t="shared" si="120"/>
        <v>9.5322782223793059E-3</v>
      </c>
      <c r="W106" t="str">
        <f t="shared" si="106"/>
        <v>1-0,00189666569638407i</v>
      </c>
      <c r="X106" s="4">
        <f t="shared" si="121"/>
        <v>1.0000017986687644</v>
      </c>
      <c r="Y106" s="4">
        <f t="shared" si="122"/>
        <v>-1.8966634220713705E-3</v>
      </c>
      <c r="Z106" t="str">
        <f t="shared" si="107"/>
        <v>0,999999976982403+0,000260586526370176i</v>
      </c>
      <c r="AA106" s="4">
        <f t="shared" si="123"/>
        <v>1.000000010935072</v>
      </c>
      <c r="AB106" s="4">
        <f t="shared" si="124"/>
        <v>2.6058652646984628E-4</v>
      </c>
      <c r="AC106" s="47" t="str">
        <f t="shared" si="125"/>
        <v>3,63874714235759-13,4218536669517i</v>
      </c>
      <c r="AD106" s="20">
        <f t="shared" si="126"/>
        <v>22.864264602259258</v>
      </c>
      <c r="AE106" s="43">
        <f t="shared" si="127"/>
        <v>-74.831369643794091</v>
      </c>
      <c r="AF106" t="str">
        <f t="shared" si="108"/>
        <v>171,265703090588</v>
      </c>
      <c r="AG106" t="str">
        <f t="shared" si="109"/>
        <v>1+3,76296425295335i</v>
      </c>
      <c r="AH106">
        <f t="shared" si="128"/>
        <v>3.8935716211474483</v>
      </c>
      <c r="AI106">
        <f t="shared" si="129"/>
        <v>1.3110518630666861</v>
      </c>
      <c r="AJ106" t="str">
        <f t="shared" si="110"/>
        <v>1+0,00953256694755858i</v>
      </c>
      <c r="AK106">
        <f t="shared" si="130"/>
        <v>1.000045433884186</v>
      </c>
      <c r="AL106">
        <f t="shared" si="131"/>
        <v>9.5322782223793059E-3</v>
      </c>
      <c r="AM106" t="str">
        <f t="shared" si="111"/>
        <v>1-0,000599222214307753i</v>
      </c>
      <c r="AN106">
        <f t="shared" si="132"/>
        <v>1.0000001795336149</v>
      </c>
      <c r="AO106">
        <f t="shared" si="133"/>
        <v>-5.9922214258740852E-4</v>
      </c>
      <c r="AP106" s="41" t="str">
        <f t="shared" si="134"/>
        <v>11,6771169406874-42,4105980586718i</v>
      </c>
      <c r="AQ106">
        <f t="shared" si="135"/>
        <v>32.866840863303878</v>
      </c>
      <c r="AR106" s="43">
        <f t="shared" si="136"/>
        <v>-74.605912064958872</v>
      </c>
      <c r="AS106" t="str">
        <f t="shared" si="112"/>
        <v>-0,0000166666666666667</v>
      </c>
      <c r="AT106" t="str">
        <f t="shared" si="113"/>
        <v>7,25428344709207E-07i</v>
      </c>
      <c r="AU106">
        <f t="shared" si="137"/>
        <v>7.2542834470920701E-7</v>
      </c>
      <c r="AV106">
        <f t="shared" si="138"/>
        <v>1.5707963267948966</v>
      </c>
      <c r="AW106" t="str">
        <f t="shared" si="114"/>
        <v>1+0,00227353600654649i</v>
      </c>
      <c r="AX106">
        <f t="shared" si="139"/>
        <v>1.0000025844796467</v>
      </c>
      <c r="AY106">
        <f t="shared" si="140"/>
        <v>2.2735320892818866E-3</v>
      </c>
      <c r="AZ106" t="str">
        <f t="shared" si="115"/>
        <v>1+0,157287354634717i</v>
      </c>
      <c r="BA106">
        <f t="shared" si="141"/>
        <v>1.012294083716776</v>
      </c>
      <c r="BB106">
        <f t="shared" si="142"/>
        <v>0.15600921355047853</v>
      </c>
      <c r="BC106" s="41" t="str">
        <f t="shared" si="143"/>
        <v>-3,56141348537317+22,9830286931481i</v>
      </c>
      <c r="BD106">
        <f t="shared" si="144"/>
        <v>27.331196101031232</v>
      </c>
      <c r="BE106" s="43">
        <f t="shared" si="145"/>
        <v>98.808405708294174</v>
      </c>
      <c r="BF106" s="41" t="str">
        <f t="shared" si="146"/>
        <v>295,515764800131+131,430200628102i</v>
      </c>
      <c r="BG106" s="20">
        <f t="shared" si="147"/>
        <v>50.1954607032905</v>
      </c>
      <c r="BH106" s="43">
        <f t="shared" si="148"/>
        <v>23.977036064499998</v>
      </c>
      <c r="BI106" s="41" t="str">
        <f t="shared" si="101"/>
        <v>933,136950333182+419,417189549959i</v>
      </c>
      <c r="BJ106" s="20">
        <f t="shared" si="149"/>
        <v>60.198036964335103</v>
      </c>
      <c r="BK106" s="43">
        <f t="shared" si="102"/>
        <v>24.202493643335288</v>
      </c>
      <c r="BL106">
        <f t="shared" si="150"/>
        <v>50.1954607032905</v>
      </c>
      <c r="BM106" s="43">
        <f t="shared" si="151"/>
        <v>23.977036064499998</v>
      </c>
    </row>
    <row r="107" spans="14:65" x14ac:dyDescent="0.25">
      <c r="N107" s="9">
        <v>89</v>
      </c>
      <c r="O107" s="34">
        <f t="shared" si="116"/>
        <v>77.624711662869217</v>
      </c>
      <c r="P107" s="33" t="str">
        <f t="shared" si="103"/>
        <v>54,631621870174</v>
      </c>
      <c r="Q107" s="4" t="str">
        <f t="shared" si="104"/>
        <v>1+3,88782146950299i</v>
      </c>
      <c r="R107" s="4">
        <f t="shared" si="117"/>
        <v>4.014368665024227</v>
      </c>
      <c r="S107" s="4">
        <f t="shared" si="118"/>
        <v>1.3190401351012344</v>
      </c>
      <c r="T107" s="4" t="str">
        <f t="shared" si="105"/>
        <v>1+0,00975460895588384i</v>
      </c>
      <c r="U107" s="4">
        <f t="shared" si="119"/>
        <v>1.0000475750662476</v>
      </c>
      <c r="V107" s="4">
        <f t="shared" si="120"/>
        <v>9.7542995820752293E-3</v>
      </c>
      <c r="W107" t="str">
        <f t="shared" si="106"/>
        <v>1-0,00194084471580912i</v>
      </c>
      <c r="X107" s="4">
        <f t="shared" si="121"/>
        <v>1.0000018834373319</v>
      </c>
      <c r="Y107" s="4">
        <f t="shared" si="122"/>
        <v>-1.9408422788394044E-3</v>
      </c>
      <c r="Z107" t="str">
        <f t="shared" si="107"/>
        <v>0,999999975897617+0,000266656366317385i</v>
      </c>
      <c r="AA107" s="4">
        <f t="shared" si="123"/>
        <v>1.0000000114504262</v>
      </c>
      <c r="AB107" s="4">
        <f t="shared" si="124"/>
        <v>2.6665636642418363E-4</v>
      </c>
      <c r="AC107" s="47" t="str">
        <f t="shared" si="125"/>
        <v>3,48961918904604-13,1547059555229i</v>
      </c>
      <c r="AD107" s="20">
        <f t="shared" si="126"/>
        <v>22.676966277112843</v>
      </c>
      <c r="AE107" s="43">
        <f t="shared" si="127"/>
        <v>-75.143032907161981</v>
      </c>
      <c r="AF107" t="str">
        <f t="shared" si="108"/>
        <v>171,265703090588</v>
      </c>
      <c r="AG107" t="str">
        <f t="shared" si="109"/>
        <v>1+3,85061495025015i</v>
      </c>
      <c r="AH107">
        <f t="shared" si="128"/>
        <v>3.9783458239687968</v>
      </c>
      <c r="AI107">
        <f t="shared" si="129"/>
        <v>1.3167104369799567</v>
      </c>
      <c r="AJ107" t="str">
        <f t="shared" si="110"/>
        <v>1+0,00975460895588384i</v>
      </c>
      <c r="AK107">
        <f t="shared" si="130"/>
        <v>1.0000475750662476</v>
      </c>
      <c r="AL107">
        <f t="shared" si="131"/>
        <v>9.7542995820752293E-3</v>
      </c>
      <c r="AM107" t="str">
        <f t="shared" si="111"/>
        <v>1-0,00061317989272008i</v>
      </c>
      <c r="AN107">
        <f t="shared" si="132"/>
        <v>1.0000001879947726</v>
      </c>
      <c r="AO107">
        <f t="shared" si="133"/>
        <v>-6.1317981587034702E-4</v>
      </c>
      <c r="AP107" s="41" t="str">
        <f t="shared" si="134"/>
        <v>11,2019121360912-41,568637066866i</v>
      </c>
      <c r="AQ107">
        <f t="shared" si="135"/>
        <v>32.679772247389501</v>
      </c>
      <c r="AR107" s="43">
        <f t="shared" si="136"/>
        <v>-74.918203297150754</v>
      </c>
      <c r="AS107" t="str">
        <f t="shared" si="112"/>
        <v>-0,0000166666666666667</v>
      </c>
      <c r="AT107" t="str">
        <f t="shared" si="113"/>
        <v>7,4232574154276E-07i</v>
      </c>
      <c r="AU107">
        <f t="shared" si="137"/>
        <v>7.4232574154276004E-7</v>
      </c>
      <c r="AV107">
        <f t="shared" si="138"/>
        <v>1.5707963267948966</v>
      </c>
      <c r="AW107" t="str">
        <f t="shared" si="114"/>
        <v>1+0,002326493463197i</v>
      </c>
      <c r="AX107">
        <f t="shared" si="139"/>
        <v>1.0000027062822552</v>
      </c>
      <c r="AY107">
        <f t="shared" si="140"/>
        <v>2.3264892657729676E-3</v>
      </c>
      <c r="AZ107" t="str">
        <f t="shared" si="115"/>
        <v>1+0,160951047772083i</v>
      </c>
      <c r="BA107">
        <f t="shared" si="141"/>
        <v>1.0128698039624497</v>
      </c>
      <c r="BB107">
        <f t="shared" si="142"/>
        <v>0.15958243302704064</v>
      </c>
      <c r="BC107" s="41" t="str">
        <f t="shared" si="143"/>
        <v>-3,56141261779666+22,4602440008842i</v>
      </c>
      <c r="BD107">
        <f t="shared" si="144"/>
        <v>27.136133549707839</v>
      </c>
      <c r="BE107" s="43">
        <f t="shared" si="145"/>
        <v>99.010101880867325</v>
      </c>
      <c r="BF107" s="41" t="str">
        <f t="shared" si="146"/>
        <v>283,029931709755+125,227034229546i</v>
      </c>
      <c r="BG107" s="20">
        <f t="shared" si="147"/>
        <v>49.813099826820689</v>
      </c>
      <c r="BH107" s="43">
        <f t="shared" si="148"/>
        <v>23.867068973705376</v>
      </c>
      <c r="BI107" s="41" t="str">
        <f t="shared" si="101"/>
        <v>893,747100081085+399,640748407621i</v>
      </c>
      <c r="BJ107" s="20">
        <f t="shared" si="149"/>
        <v>59.815905797097344</v>
      </c>
      <c r="BK107" s="43">
        <f t="shared" si="102"/>
        <v>24.091898583716574</v>
      </c>
      <c r="BL107">
        <f t="shared" si="150"/>
        <v>49.813099826820689</v>
      </c>
      <c r="BM107" s="43">
        <f t="shared" si="151"/>
        <v>23.867068973705376</v>
      </c>
    </row>
    <row r="108" spans="14:65" x14ac:dyDescent="0.25">
      <c r="N108" s="9">
        <v>90</v>
      </c>
      <c r="O108" s="34">
        <f t="shared" si="116"/>
        <v>79.432823472428197</v>
      </c>
      <c r="P108" s="33" t="str">
        <f t="shared" si="103"/>
        <v>54,631621870174</v>
      </c>
      <c r="Q108" s="4" t="str">
        <f t="shared" si="104"/>
        <v>1+3,97838046498107i</v>
      </c>
      <c r="R108" s="4">
        <f t="shared" si="117"/>
        <v>4.1021349470907218</v>
      </c>
      <c r="S108" s="4">
        <f t="shared" si="118"/>
        <v>1.3245394246694788</v>
      </c>
      <c r="T108" s="4" t="str">
        <f t="shared" si="105"/>
        <v>1+0,00998182298699502i</v>
      </c>
      <c r="U108" s="4">
        <f t="shared" si="119"/>
        <v>1.0000498171541974</v>
      </c>
      <c r="V108" s="4">
        <f t="shared" si="120"/>
        <v>9.9814914878784307E-3</v>
      </c>
      <c r="W108" t="str">
        <f t="shared" si="106"/>
        <v>1-0,0019860527967926i</v>
      </c>
      <c r="X108" s="4">
        <f t="shared" si="121"/>
        <v>1.000001972200911</v>
      </c>
      <c r="Y108" s="4">
        <f t="shared" si="122"/>
        <v>-1.9860501855327815E-3</v>
      </c>
      <c r="Z108" t="str">
        <f t="shared" si="107"/>
        <v>0,999999974761706+0,00027286759099963i</v>
      </c>
      <c r="AA108" s="4">
        <f t="shared" si="123"/>
        <v>1.0000000119900672</v>
      </c>
      <c r="AB108" s="4">
        <f t="shared" si="124"/>
        <v>2.7286759111406697E-4</v>
      </c>
      <c r="AC108" s="47" t="str">
        <f t="shared" si="125"/>
        <v>3,34638657611241-12,8912846048096i</v>
      </c>
      <c r="AD108" s="20">
        <f t="shared" si="126"/>
        <v>22.48913273390778</v>
      </c>
      <c r="AE108" s="43">
        <f t="shared" si="127"/>
        <v>-75.448047951615152</v>
      </c>
      <c r="AF108" t="str">
        <f t="shared" si="108"/>
        <v>171,265703090588</v>
      </c>
      <c r="AG108" t="str">
        <f t="shared" si="109"/>
        <v>1+3,94030729456248i</v>
      </c>
      <c r="AH108">
        <f t="shared" si="128"/>
        <v>4.0652209750002877</v>
      </c>
      <c r="AI108">
        <f t="shared" si="129"/>
        <v>1.3222563226447308</v>
      </c>
      <c r="AJ108" t="str">
        <f t="shared" si="110"/>
        <v>1+0,00998182298699502i</v>
      </c>
      <c r="AK108">
        <f t="shared" si="130"/>
        <v>1.0000498171541974</v>
      </c>
      <c r="AL108">
        <f t="shared" si="131"/>
        <v>9.9814914878784307E-3</v>
      </c>
      <c r="AM108" t="str">
        <f t="shared" si="111"/>
        <v>1-0,000627462687227923i</v>
      </c>
      <c r="AN108">
        <f t="shared" si="132"/>
        <v>1.0000001968546925</v>
      </c>
      <c r="AO108">
        <f t="shared" si="133"/>
        <v>-6.2746260488195135E-4</v>
      </c>
      <c r="AP108" s="41" t="str">
        <f t="shared" si="134"/>
        <v>10,7454457065451-40,7382770071225i</v>
      </c>
      <c r="AQ108">
        <f t="shared" si="135"/>
        <v>32.492159286983707</v>
      </c>
      <c r="AR108" s="43">
        <f t="shared" si="136"/>
        <v>-75.223760345592382</v>
      </c>
      <c r="AS108" t="str">
        <f t="shared" si="112"/>
        <v>-0,0000166666666666667</v>
      </c>
      <c r="AT108" t="str">
        <f t="shared" si="113"/>
        <v>7,5961672931032E-07i</v>
      </c>
      <c r="AU108">
        <f t="shared" si="137"/>
        <v>7.5961672931031996E-7</v>
      </c>
      <c r="AV108">
        <f t="shared" si="138"/>
        <v>1.5707963267948966</v>
      </c>
      <c r="AW108" t="str">
        <f t="shared" si="114"/>
        <v>1+0,00238068445747647i</v>
      </c>
      <c r="AX108">
        <f t="shared" si="139"/>
        <v>1.0000028338252278</v>
      </c>
      <c r="AY108">
        <f t="shared" si="140"/>
        <v>2.3806799598562753E-3</v>
      </c>
      <c r="AZ108" t="str">
        <f t="shared" si="115"/>
        <v>1+0,164700079285418i</v>
      </c>
      <c r="BA108">
        <f t="shared" si="141"/>
        <v>1.0134723065366034</v>
      </c>
      <c r="BB108">
        <f t="shared" si="142"/>
        <v>0.16323463297997681</v>
      </c>
      <c r="BC108" s="41" t="str">
        <f t="shared" si="143"/>
        <v>-3,56141170933299+21,9493680270959i</v>
      </c>
      <c r="BD108">
        <f t="shared" si="144"/>
        <v>26.941297681253637</v>
      </c>
      <c r="BE108" s="43">
        <f t="shared" si="145"/>
        <v>99.216252626048529</v>
      </c>
      <c r="BF108" s="41" t="str">
        <f t="shared" si="146"/>
        <v>271,03768979688+119,362242459938i</v>
      </c>
      <c r="BG108" s="20">
        <f t="shared" si="147"/>
        <v>49.430430415161418</v>
      </c>
      <c r="BH108" s="43">
        <f t="shared" si="148"/>
        <v>23.768204674433431</v>
      </c>
      <c r="BI108" s="41" t="str">
        <f t="shared" si="101"/>
        <v>855,910478657819+380,941519179353i</v>
      </c>
      <c r="BJ108" s="20">
        <f t="shared" si="149"/>
        <v>59.433456968237344</v>
      </c>
      <c r="BK108" s="43">
        <f t="shared" si="102"/>
        <v>23.992492280456162</v>
      </c>
      <c r="BL108">
        <f t="shared" si="150"/>
        <v>49.430430415161418</v>
      </c>
      <c r="BM108" s="43">
        <f t="shared" si="151"/>
        <v>23.768204674433431</v>
      </c>
    </row>
    <row r="109" spans="14:65" x14ac:dyDescent="0.25">
      <c r="N109" s="9">
        <v>91</v>
      </c>
      <c r="O109" s="34">
        <f t="shared" si="116"/>
        <v>81.283051616409963</v>
      </c>
      <c r="P109" s="33" t="str">
        <f t="shared" si="103"/>
        <v>54,631621870174</v>
      </c>
      <c r="Q109" s="4" t="str">
        <f t="shared" si="104"/>
        <v>1+4,07104885044178i</v>
      </c>
      <c r="R109" s="4">
        <f t="shared" si="117"/>
        <v>4.1920685517633585</v>
      </c>
      <c r="S109" s="4">
        <f t="shared" si="118"/>
        <v>1.3299282657885152</v>
      </c>
      <c r="T109" s="4" t="str">
        <f t="shared" si="105"/>
        <v>1+0,0102143295127789i</v>
      </c>
      <c r="U109" s="4">
        <f t="shared" si="119"/>
        <v>1.0000521649031093</v>
      </c>
      <c r="V109" s="4">
        <f t="shared" si="120"/>
        <v>1.0213974306076496E-2</v>
      </c>
      <c r="W109" t="str">
        <f t="shared" si="106"/>
        <v>1-0,00203231390925746i</v>
      </c>
      <c r="X109" s="4">
        <f t="shared" si="121"/>
        <v>1.0000020651477803</v>
      </c>
      <c r="Y109" s="4">
        <f t="shared" si="122"/>
        <v>-2.0323111112424655E-3</v>
      </c>
      <c r="Z109" t="str">
        <f t="shared" si="107"/>
        <v>0,999999973572262+0,000279223493690452i</v>
      </c>
      <c r="AA109" s="4">
        <f t="shared" si="123"/>
        <v>1.000000012555142</v>
      </c>
      <c r="AB109" s="4">
        <f t="shared" si="124"/>
        <v>2.7922349381307343E-4</v>
      </c>
      <c r="AC109" s="47" t="str">
        <f t="shared" si="125"/>
        <v>3,20884953663917-12,6316412064295i</v>
      </c>
      <c r="AD109" s="20">
        <f t="shared" si="126"/>
        <v>22.300785272167492</v>
      </c>
      <c r="AE109" s="43">
        <f t="shared" si="127"/>
        <v>-75.746500242109605</v>
      </c>
      <c r="AF109" t="str">
        <f t="shared" si="108"/>
        <v>171,265703090588</v>
      </c>
      <c r="AG109" t="str">
        <f t="shared" si="109"/>
        <v>1+4,03208884195852i</v>
      </c>
      <c r="AH109">
        <f t="shared" si="128"/>
        <v>4.1542436651509016</v>
      </c>
      <c r="AI109">
        <f t="shared" si="129"/>
        <v>1.3276910953973589</v>
      </c>
      <c r="AJ109" t="str">
        <f t="shared" si="110"/>
        <v>1+0,0102143295127789i</v>
      </c>
      <c r="AK109">
        <f t="shared" si="130"/>
        <v>1.0000521649031093</v>
      </c>
      <c r="AL109">
        <f t="shared" si="131"/>
        <v>1.0213974306076496E-2</v>
      </c>
      <c r="AM109" t="str">
        <f t="shared" si="111"/>
        <v>1-0,000642078170757983i</v>
      </c>
      <c r="AN109">
        <f t="shared" si="132"/>
        <v>1.0000002061321673</v>
      </c>
      <c r="AO109">
        <f t="shared" si="133"/>
        <v>-6.4207808252268565E-4</v>
      </c>
      <c r="AP109" s="41" t="str">
        <f t="shared" si="134"/>
        <v>10,307086658662-39,9196907532396i</v>
      </c>
      <c r="AQ109">
        <f t="shared" si="135"/>
        <v>32.304023587388841</v>
      </c>
      <c r="AR109" s="43">
        <f t="shared" si="136"/>
        <v>-75.522667007823003</v>
      </c>
      <c r="AS109" t="str">
        <f t="shared" si="112"/>
        <v>-0,0000166666666666667</v>
      </c>
      <c r="AT109" t="str">
        <f t="shared" si="113"/>
        <v>7,77310475922477E-07i</v>
      </c>
      <c r="AU109">
        <f t="shared" si="137"/>
        <v>7.7731047592247705E-7</v>
      </c>
      <c r="AV109">
        <f t="shared" si="138"/>
        <v>1.5707963267948966</v>
      </c>
      <c r="AW109" t="str">
        <f t="shared" si="114"/>
        <v>1+0,00243613772216738i</v>
      </c>
      <c r="AX109">
        <f t="shared" si="139"/>
        <v>1.000002967379098</v>
      </c>
      <c r="AY109">
        <f t="shared" si="140"/>
        <v>2.4361329028812859E-3</v>
      </c>
      <c r="AZ109" t="str">
        <f t="shared" si="115"/>
        <v>1+0,168536436960853i</v>
      </c>
      <c r="BA109">
        <f t="shared" si="141"/>
        <v>1.0141028205184421</v>
      </c>
      <c r="BB109">
        <f t="shared" si="142"/>
        <v>0.16696735993532461</v>
      </c>
      <c r="BC109" s="41" t="str">
        <f t="shared" si="143"/>
        <v>-3,56141075805526+21,4501298985659i</v>
      </c>
      <c r="BD109">
        <f t="shared" si="144"/>
        <v>26.746698614555875</v>
      </c>
      <c r="BE109" s="43">
        <f t="shared" si="145"/>
        <v>99.426944907067778</v>
      </c>
      <c r="BF109" s="41" t="str">
        <f t="shared" si="146"/>
        <v>259,522313449223+113,816702270335i</v>
      </c>
      <c r="BG109" s="20">
        <f t="shared" si="147"/>
        <v>49.04748388672337</v>
      </c>
      <c r="BH109" s="43">
        <f t="shared" si="148"/>
        <v>23.680444664958117</v>
      </c>
      <c r="BI109" s="41" t="str">
        <f t="shared" si="101"/>
        <v>819,574782857203+363,258763810902i</v>
      </c>
      <c r="BJ109" s="20">
        <f t="shared" si="149"/>
        <v>59.050722201944723</v>
      </c>
      <c r="BK109" s="43">
        <f t="shared" si="102"/>
        <v>23.904277899244775</v>
      </c>
      <c r="BL109">
        <f t="shared" si="150"/>
        <v>49.04748388672337</v>
      </c>
      <c r="BM109" s="43">
        <f t="shared" si="151"/>
        <v>23.680444664958117</v>
      </c>
    </row>
    <row r="110" spans="14:65" x14ac:dyDescent="0.25">
      <c r="N110" s="9">
        <v>92</v>
      </c>
      <c r="O110" s="34">
        <f t="shared" si="116"/>
        <v>83.176377110267126</v>
      </c>
      <c r="P110" s="33" t="str">
        <f t="shared" si="103"/>
        <v>54,631621870174</v>
      </c>
      <c r="Q110" s="4" t="str">
        <f t="shared" si="104"/>
        <v>1+4,16587575988969i</v>
      </c>
      <c r="R110" s="4">
        <f t="shared" si="117"/>
        <v>4.2842176469965318</v>
      </c>
      <c r="S110" s="4">
        <f t="shared" si="118"/>
        <v>1.335208263237226</v>
      </c>
      <c r="T110" s="4" t="str">
        <f t="shared" si="105"/>
        <v>1+0,0104522518112732i</v>
      </c>
      <c r="U110" s="4">
        <f t="shared" si="119"/>
        <v>1.000054623292111</v>
      </c>
      <c r="V110" s="4">
        <f t="shared" si="120"/>
        <v>1.0451871201557012E-2</v>
      </c>
      <c r="W110" t="str">
        <f t="shared" si="106"/>
        <v>1-0,00207965258145786i</v>
      </c>
      <c r="X110" s="4">
        <f t="shared" si="121"/>
        <v>1.0000021624750917</v>
      </c>
      <c r="Y110" s="4">
        <f t="shared" si="122"/>
        <v>-2.0796495833311276E-3</v>
      </c>
      <c r="Z110" t="str">
        <f t="shared" si="107"/>
        <v>0,999999972326761+0,000285727444373589i</v>
      </c>
      <c r="AA110" s="4">
        <f t="shared" si="123"/>
        <v>1.0000000131468476</v>
      </c>
      <c r="AB110" s="4">
        <f t="shared" si="124"/>
        <v>2.8572744450498018E-4</v>
      </c>
      <c r="AC110" s="47" t="str">
        <f t="shared" si="125"/>
        <v>3,07681227534382-12,3758191176755i</v>
      </c>
      <c r="AD110" s="20">
        <f t="shared" si="126"/>
        <v>22.111944467916445</v>
      </c>
      <c r="AE110" s="43">
        <f t="shared" si="127"/>
        <v>-76.038476267274262</v>
      </c>
      <c r="AF110" t="str">
        <f t="shared" si="108"/>
        <v>171,265703090588</v>
      </c>
      <c r="AG110" t="str">
        <f t="shared" si="109"/>
        <v>1+4,12600825622958i</v>
      </c>
      <c r="AH110">
        <f t="shared" si="128"/>
        <v>4.2454615921563414</v>
      </c>
      <c r="AI110">
        <f t="shared" si="129"/>
        <v>1.3330163520739127</v>
      </c>
      <c r="AJ110" t="str">
        <f t="shared" si="110"/>
        <v>1+0,0104522518112732i</v>
      </c>
      <c r="AK110">
        <f t="shared" si="130"/>
        <v>1.000054623292111</v>
      </c>
      <c r="AL110">
        <f t="shared" si="131"/>
        <v>1.0451871201557012E-2</v>
      </c>
      <c r="AM110" t="str">
        <f t="shared" si="111"/>
        <v>1-0,00065703409263309i</v>
      </c>
      <c r="AN110">
        <f t="shared" si="132"/>
        <v>1.0000002158468762</v>
      </c>
      <c r="AO110">
        <f t="shared" si="133"/>
        <v>-6.5703399808726671E-4</v>
      </c>
      <c r="AP110" s="41" t="str">
        <f t="shared" si="134"/>
        <v>9,88621618581733-39,1130247560445i</v>
      </c>
      <c r="AQ110">
        <f t="shared" si="135"/>
        <v>32.115386024317559</v>
      </c>
      <c r="AR110" s="43">
        <f t="shared" si="136"/>
        <v>-75.815008162983673</v>
      </c>
      <c r="AS110" t="str">
        <f t="shared" si="112"/>
        <v>-0,0000166666666666667</v>
      </c>
      <c r="AT110" t="str">
        <f t="shared" si="113"/>
        <v>7,95416362837889E-07i</v>
      </c>
      <c r="AU110">
        <f t="shared" si="137"/>
        <v>7.9541636283788901E-7</v>
      </c>
      <c r="AV110">
        <f t="shared" si="138"/>
        <v>1.5707963267948966</v>
      </c>
      <c r="AW110" t="str">
        <f t="shared" si="114"/>
        <v>1+0,00249288265932468i</v>
      </c>
      <c r="AX110">
        <f t="shared" si="139"/>
        <v>1.0000031072271491</v>
      </c>
      <c r="AY110">
        <f t="shared" si="140"/>
        <v>2.4928774953674594E-3</v>
      </c>
      <c r="AZ110" t="str">
        <f t="shared" si="115"/>
        <v>1+0,172462154886007i</v>
      </c>
      <c r="BA110">
        <f t="shared" si="141"/>
        <v>1.0147626298144434</v>
      </c>
      <c r="BB110">
        <f t="shared" si="142"/>
        <v>0.17078217675214183</v>
      </c>
      <c r="BC110" s="41" t="str">
        <f t="shared" si="143"/>
        <v>-3,56140976194569+20,9622649126155i</v>
      </c>
      <c r="BD110">
        <f t="shared" si="144"/>
        <v>26.552346893199296</v>
      </c>
      <c r="BE110" s="43">
        <f t="shared" si="145"/>
        <v>99.642266584627308</v>
      </c>
      <c r="BF110" s="41" t="str">
        <f t="shared" si="146"/>
        <v>248,467409582241+108,572317019908i</v>
      </c>
      <c r="BG110" s="20">
        <f t="shared" si="147"/>
        <v>48.66429136111573</v>
      </c>
      <c r="BH110" s="43">
        <f t="shared" si="148"/>
        <v>23.603790317353074</v>
      </c>
      <c r="BI110" s="41" t="str">
        <f t="shared" si="101"/>
        <v>784,688719637018+346,53499085589i</v>
      </c>
      <c r="BJ110" s="20">
        <f t="shared" si="149"/>
        <v>58.667732917516851</v>
      </c>
      <c r="BK110" s="43">
        <f t="shared" si="102"/>
        <v>23.827258421643613</v>
      </c>
      <c r="BL110">
        <f t="shared" si="150"/>
        <v>48.66429136111573</v>
      </c>
      <c r="BM110" s="43">
        <f t="shared" si="151"/>
        <v>23.603790317353074</v>
      </c>
    </row>
    <row r="111" spans="14:65" x14ac:dyDescent="0.25">
      <c r="N111" s="9">
        <v>93</v>
      </c>
      <c r="O111" s="34">
        <f t="shared" si="116"/>
        <v>85.113803820237734</v>
      </c>
      <c r="P111" s="33" t="str">
        <f t="shared" si="103"/>
        <v>54,631621870174</v>
      </c>
      <c r="Q111" s="4" t="str">
        <f t="shared" si="104"/>
        <v>1+4,26291147180739i</v>
      </c>
      <c r="R111" s="4">
        <f t="shared" si="117"/>
        <v>4.3786315460959999</v>
      </c>
      <c r="S111" s="4">
        <f t="shared" si="118"/>
        <v>1.34038103844599</v>
      </c>
      <c r="T111" s="4" t="str">
        <f t="shared" si="105"/>
        <v>1+0,0106957160320297i</v>
      </c>
      <c r="U111" s="4">
        <f t="shared" si="119"/>
        <v>1.0000571975349399</v>
      </c>
      <c r="V111" s="4">
        <f t="shared" si="120"/>
        <v>1.0695308202630819E-2</v>
      </c>
      <c r="W111" t="str">
        <f t="shared" si="106"/>
        <v>1-0,00212809391298441i</v>
      </c>
      <c r="X111" s="4">
        <f t="shared" si="121"/>
        <v>1.0000022643892874</v>
      </c>
      <c r="Y111" s="4">
        <f t="shared" si="122"/>
        <v>-2.1280907004341291E-3</v>
      </c>
      <c r="Z111" t="str">
        <f t="shared" si="107"/>
        <v>0,999999971022562+0,000292382891529783i</v>
      </c>
      <c r="AA111" s="4">
        <f t="shared" si="123"/>
        <v>1.0000000137664398</v>
      </c>
      <c r="AB111" s="4">
        <f t="shared" si="124"/>
        <v>2.9238289167057103E-4</v>
      </c>
      <c r="AC111" s="47" t="str">
        <f t="shared" si="125"/>
        <v>2,95008314417842-12,1238539273288i</v>
      </c>
      <c r="AD111" s="20">
        <f t="shared" si="126"/>
        <v>21.922630188674326</v>
      </c>
      <c r="AE111" s="43">
        <f t="shared" si="127"/>
        <v>-76.324063342965843</v>
      </c>
      <c r="AF111" t="str">
        <f t="shared" si="108"/>
        <v>171,265703090588</v>
      </c>
      <c r="AG111" t="str">
        <f t="shared" si="109"/>
        <v>1+4,22211533469227i</v>
      </c>
      <c r="AH111">
        <f t="shared" si="128"/>
        <v>4.3389235876474732</v>
      </c>
      <c r="AI111">
        <f t="shared" si="129"/>
        <v>1.3382337075490249</v>
      </c>
      <c r="AJ111" t="str">
        <f t="shared" si="110"/>
        <v>1+0,0106957160320297i</v>
      </c>
      <c r="AK111">
        <f t="shared" si="130"/>
        <v>1.0000571975349399</v>
      </c>
      <c r="AL111">
        <f t="shared" si="131"/>
        <v>1.0695308202630819E-2</v>
      </c>
      <c r="AM111" t="str">
        <f t="shared" si="111"/>
        <v>1-0,000672338382680986i</v>
      </c>
      <c r="AN111">
        <f t="shared" si="132"/>
        <v>1.0000002260194247</v>
      </c>
      <c r="AO111">
        <f t="shared" si="133"/>
        <v>-6.7233828137331232E-4</v>
      </c>
      <c r="AP111" s="41" t="str">
        <f t="shared" si="134"/>
        <v>9,48222825876117-38,3184005179097i</v>
      </c>
      <c r="AQ111">
        <f t="shared" si="135"/>
        <v>31.926266758605664</v>
      </c>
      <c r="AR111" s="43">
        <f t="shared" si="136"/>
        <v>-76.100869570028991</v>
      </c>
      <c r="AS111" t="str">
        <f t="shared" si="112"/>
        <v>-0,0000166666666666667</v>
      </c>
      <c r="AT111" t="str">
        <f t="shared" si="113"/>
        <v>8,13943990037458E-07i</v>
      </c>
      <c r="AU111">
        <f t="shared" si="137"/>
        <v>8.1394399003745798E-7</v>
      </c>
      <c r="AV111">
        <f t="shared" si="138"/>
        <v>1.5707963267948966</v>
      </c>
      <c r="AW111" t="str">
        <f t="shared" si="114"/>
        <v>1+0,00255094935586516i</v>
      </c>
      <c r="AX111">
        <f t="shared" si="139"/>
        <v>1.0000032536660148</v>
      </c>
      <c r="AY111">
        <f t="shared" si="140"/>
        <v>2.550943822586279E-3</v>
      </c>
      <c r="AZ111" t="str">
        <f t="shared" si="115"/>
        <v>1+0,17647931452849i</v>
      </c>
      <c r="BA111">
        <f t="shared" si="141"/>
        <v>1.0154530754576725</v>
      </c>
      <c r="BB111">
        <f t="shared" si="142"/>
        <v>0.17468066174302924</v>
      </c>
      <c r="BC111" s="41" t="str">
        <f t="shared" si="143"/>
        <v>-3,56140871889156+20,4855143967562i</v>
      </c>
      <c r="BD111">
        <f t="shared" si="144"/>
        <v>26.358253500767795</v>
      </c>
      <c r="BE111" s="43">
        <f t="shared" si="145"/>
        <v>99.862306365618736</v>
      </c>
      <c r="BF111" s="41" t="str">
        <f t="shared" si="146"/>
        <v>237,856932341331+103,611969805051i</v>
      </c>
      <c r="BG111" s="20">
        <f t="shared" si="147"/>
        <v>48.280883689442113</v>
      </c>
      <c r="BH111" s="43">
        <f t="shared" si="148"/>
        <v>23.538243022652864</v>
      </c>
      <c r="BI111" s="41" t="str">
        <f t="shared" si="101"/>
        <v>751,202055075037+330,715809206643i</v>
      </c>
      <c r="BJ111" s="20">
        <f t="shared" si="149"/>
        <v>58.284520259373458</v>
      </c>
      <c r="BK111" s="43">
        <f t="shared" si="102"/>
        <v>23.761436795589766</v>
      </c>
      <c r="BL111">
        <f t="shared" si="150"/>
        <v>48.280883689442113</v>
      </c>
      <c r="BM111" s="43">
        <f t="shared" si="151"/>
        <v>23.538243022652864</v>
      </c>
    </row>
    <row r="112" spans="14:65" x14ac:dyDescent="0.25">
      <c r="N112" s="9">
        <v>94</v>
      </c>
      <c r="O112" s="34">
        <f t="shared" si="116"/>
        <v>87.096358995608071</v>
      </c>
      <c r="P112" s="33" t="str">
        <f t="shared" si="103"/>
        <v>54,631621870174</v>
      </c>
      <c r="Q112" s="4" t="str">
        <f t="shared" si="104"/>
        <v>1+4,36220743581373i</v>
      </c>
      <c r="R112" s="4">
        <f t="shared" si="117"/>
        <v>4.4753607355238518</v>
      </c>
      <c r="S112" s="4">
        <f t="shared" si="118"/>
        <v>1.345448226312272</v>
      </c>
      <c r="T112" s="4" t="str">
        <f t="shared" si="105"/>
        <v>1+0,0109448512630009i</v>
      </c>
      <c r="U112" s="4">
        <f t="shared" si="119"/>
        <v>1.0000598930909934</v>
      </c>
      <c r="V112" s="4">
        <f t="shared" si="120"/>
        <v>1.0944414267340241E-2</v>
      </c>
      <c r="W112" t="str">
        <f t="shared" si="106"/>
        <v>1-0,00217766358807227i</v>
      </c>
      <c r="X112" s="4">
        <f t="shared" si="121"/>
        <v>1.0000023711065404</v>
      </c>
      <c r="Y112" s="4">
        <f t="shared" si="122"/>
        <v>-2.1776601457630658E-3</v>
      </c>
      <c r="Z112" t="str">
        <f t="shared" si="107"/>
        <v>0,999999969656897+0,00029919336396521i</v>
      </c>
      <c r="AA112" s="4">
        <f t="shared" si="123"/>
        <v>1.0000000144152317</v>
      </c>
      <c r="AB112" s="4">
        <f t="shared" si="124"/>
        <v>2.9919336411606717E-4</v>
      </c>
      <c r="AC112" s="47" t="str">
        <f t="shared" si="125"/>
        <v>2,82847478865056-11,8757739093187i</v>
      </c>
      <c r="AD112" s="20">
        <f t="shared" si="126"/>
        <v>21.73286160904491</v>
      </c>
      <c r="AE112" s="43">
        <f t="shared" si="127"/>
        <v>-76.603349426882517</v>
      </c>
      <c r="AF112" t="str">
        <f t="shared" si="108"/>
        <v>171,265703090588</v>
      </c>
      <c r="AG112" t="str">
        <f t="shared" si="109"/>
        <v>1+4,3204610345917i</v>
      </c>
      <c r="AH112">
        <f t="shared" si="128"/>
        <v>4.4346796447348016</v>
      </c>
      <c r="AI112">
        <f t="shared" si="129"/>
        <v>1.3433447914710146</v>
      </c>
      <c r="AJ112" t="str">
        <f t="shared" si="110"/>
        <v>1+0,0109448512630009i</v>
      </c>
      <c r="AK112">
        <f t="shared" si="130"/>
        <v>1.0000598930909934</v>
      </c>
      <c r="AL112">
        <f t="shared" si="131"/>
        <v>1.0944414267340241E-2</v>
      </c>
      <c r="AM112" t="str">
        <f t="shared" si="111"/>
        <v>1-0,000687999155438827i</v>
      </c>
      <c r="AN112">
        <f t="shared" si="132"/>
        <v>1.0000002366713909</v>
      </c>
      <c r="AO112">
        <f t="shared" si="133"/>
        <v>-6.8799904688570019E-4</v>
      </c>
      <c r="AP112" s="41" t="str">
        <f t="shared" si="134"/>
        <v>9,09453012160672-37,5359160306245i</v>
      </c>
      <c r="AQ112">
        <f t="shared" si="135"/>
        <v>31.736685251563827</v>
      </c>
      <c r="AR112" s="43">
        <f t="shared" si="136"/>
        <v>-76.38033767710499</v>
      </c>
      <c r="AS112" t="str">
        <f t="shared" si="112"/>
        <v>-0,0000166666666666667</v>
      </c>
      <c r="AT112" t="str">
        <f t="shared" si="113"/>
        <v>8,32903181114366E-07i</v>
      </c>
      <c r="AU112">
        <f t="shared" si="137"/>
        <v>8.3290318111436596E-7</v>
      </c>
      <c r="AV112">
        <f t="shared" si="138"/>
        <v>1.5707963267948966</v>
      </c>
      <c r="AW112" t="str">
        <f t="shared" si="114"/>
        <v>1+0,00261036859951991i</v>
      </c>
      <c r="AX112">
        <f t="shared" si="139"/>
        <v>1.0000034070063089</v>
      </c>
      <c r="AY112">
        <f t="shared" si="140"/>
        <v>2.6103626705058589E-3</v>
      </c>
      <c r="AZ112" t="str">
        <f t="shared" si="115"/>
        <v>1+0,180590045839514i</v>
      </c>
      <c r="BA112">
        <f t="shared" si="141"/>
        <v>1.0161755579900147</v>
      </c>
      <c r="BB112">
        <f t="shared" si="142"/>
        <v>0.17866440770088873</v>
      </c>
      <c r="BC112" s="41" t="str">
        <f t="shared" si="143"/>
        <v>-3,56140762668044+20,019625571537i</v>
      </c>
      <c r="BD112">
        <f t="shared" si="144"/>
        <v>26.164429876456946</v>
      </c>
      <c r="BE112" s="43">
        <f t="shared" si="145"/>
        <v>100.08715374644709</v>
      </c>
      <c r="BF112" s="41" t="str">
        <f t="shared" si="146"/>
        <v>227,675195352615+98,9194779806967i</v>
      </c>
      <c r="BG112" s="20">
        <f t="shared" si="147"/>
        <v>47.897291485501853</v>
      </c>
      <c r="BH112" s="43">
        <f t="shared" si="148"/>
        <v>23.483804319564598</v>
      </c>
      <c r="BI112" s="41" t="str">
        <f t="shared" si="101"/>
        <v>719,065655481591+315,749785409534i</v>
      </c>
      <c r="BJ112" s="20">
        <f t="shared" si="149"/>
        <v>57.901115128020777</v>
      </c>
      <c r="BK112" s="43">
        <f t="shared" si="102"/>
        <v>23.706816069342079</v>
      </c>
      <c r="BL112">
        <f t="shared" si="150"/>
        <v>47.897291485501853</v>
      </c>
      <c r="BM112" s="43">
        <f t="shared" si="151"/>
        <v>23.483804319564598</v>
      </c>
    </row>
    <row r="113" spans="14:65" x14ac:dyDescent="0.25">
      <c r="N113" s="9">
        <v>95</v>
      </c>
      <c r="O113" s="34">
        <f t="shared" si="116"/>
        <v>89.125093813374562</v>
      </c>
      <c r="P113" s="33" t="str">
        <f t="shared" si="103"/>
        <v>54,631621870174</v>
      </c>
      <c r="Q113" s="4" t="str">
        <f t="shared" si="104"/>
        <v>1+4,46381629994318i</v>
      </c>
      <c r="R113" s="4">
        <f t="shared" si="117"/>
        <v>4.5744569032441902</v>
      </c>
      <c r="S113" s="4">
        <f t="shared" si="118"/>
        <v>1.35041147220506</v>
      </c>
      <c r="T113" s="4" t="str">
        <f t="shared" si="105"/>
        <v>1+0,0111997895989839i</v>
      </c>
      <c r="U113" s="4">
        <f t="shared" si="119"/>
        <v>1.0000627156769026</v>
      </c>
      <c r="V113" s="4">
        <f t="shared" si="120"/>
        <v>1.1199321351283141E-2</v>
      </c>
      <c r="W113" t="str">
        <f t="shared" si="106"/>
        <v>1-0,00222838788921932i</v>
      </c>
      <c r="X113" s="4">
        <f t="shared" si="121"/>
        <v>1.0000024828532101</v>
      </c>
      <c r="Y113" s="4">
        <f t="shared" si="122"/>
        <v>-2.2283842007190481E-3</v>
      </c>
      <c r="Z113" t="str">
        <f t="shared" si="107"/>
        <v>0,999999968226871+0,000306162472682505i</v>
      </c>
      <c r="AA113" s="4">
        <f t="shared" si="123"/>
        <v>1.0000000150946011</v>
      </c>
      <c r="AB113" s="4">
        <f t="shared" si="124"/>
        <v>3.0616247284415133E-4</v>
      </c>
      <c r="AC113" s="47" t="str">
        <f t="shared" si="125"/>
        <v>2,71180426701919-11,6316004632676i</v>
      </c>
      <c r="AD113" s="20">
        <f t="shared" si="126"/>
        <v>21.542657226795583</v>
      </c>
      <c r="AE113" s="43">
        <f t="shared" si="127"/>
        <v>-76.87642294393288</v>
      </c>
      <c r="AF113" t="str">
        <f t="shared" si="108"/>
        <v>171,265703090588</v>
      </c>
      <c r="AG113" t="str">
        <f t="shared" si="109"/>
        <v>1+4,42109750011974i</v>
      </c>
      <c r="AH113">
        <f t="shared" si="128"/>
        <v>4.5327809461262314</v>
      </c>
      <c r="AI113">
        <f t="shared" si="129"/>
        <v>1.3483512451881328</v>
      </c>
      <c r="AJ113" t="str">
        <f t="shared" si="110"/>
        <v>1+0,0111997895989839i</v>
      </c>
      <c r="AK113">
        <f t="shared" si="130"/>
        <v>1.0000627156769026</v>
      </c>
      <c r="AL113">
        <f t="shared" si="131"/>
        <v>1.1199321351283141E-2</v>
      </c>
      <c r="AM113" t="str">
        <f t="shared" si="111"/>
        <v>1-0,000704024714455629i</v>
      </c>
      <c r="AN113">
        <f t="shared" si="132"/>
        <v>1.0000002478253687</v>
      </c>
      <c r="AO113">
        <f t="shared" si="133"/>
        <v>-7.0402459813885966E-4</v>
      </c>
      <c r="AP113" s="41" t="str">
        <f t="shared" si="134"/>
        <v>8,72254270002752-36,7656471733571i</v>
      </c>
      <c r="AQ113">
        <f t="shared" si="135"/>
        <v>31.546660280862937</v>
      </c>
      <c r="AR113" s="43">
        <f t="shared" si="136"/>
        <v>-76.65349944179674</v>
      </c>
      <c r="AS113" t="str">
        <f t="shared" si="112"/>
        <v>-0,0000166666666666667</v>
      </c>
      <c r="AT113" t="str">
        <f t="shared" si="113"/>
        <v>8,52303988482678E-07i</v>
      </c>
      <c r="AU113">
        <f t="shared" si="137"/>
        <v>8.5230398848267796E-7</v>
      </c>
      <c r="AV113">
        <f t="shared" si="138"/>
        <v>1.5707963267948966</v>
      </c>
      <c r="AW113" t="str">
        <f t="shared" si="114"/>
        <v>1+0,00267117189515845i</v>
      </c>
      <c r="AX113">
        <f t="shared" si="139"/>
        <v>1.000003567573283</v>
      </c>
      <c r="AY113">
        <f t="shared" si="140"/>
        <v>2.6711655421066574E-3</v>
      </c>
      <c r="AZ113" t="str">
        <f t="shared" si="115"/>
        <v>1+0,184796528383235i</v>
      </c>
      <c r="BA113">
        <f t="shared" si="141"/>
        <v>1.0169315399290633</v>
      </c>
      <c r="BB113">
        <f t="shared" si="142"/>
        <v>0.18273502082637985</v>
      </c>
      <c r="BC113" s="41" t="str">
        <f t="shared" si="143"/>
        <v>-3,56140648299572+19,564351416518i</v>
      </c>
      <c r="BD113">
        <f t="shared" si="144"/>
        <v>25.970887930979998</v>
      </c>
      <c r="BE113" s="43">
        <f t="shared" si="145"/>
        <v>100.31689895064329</v>
      </c>
      <c r="BF113" s="41" t="str">
        <f t="shared" si="146"/>
        <v>217,906881702723+94,4795489502737i</v>
      </c>
      <c r="BG113" s="20">
        <f t="shared" si="147"/>
        <v>47.513545157775567</v>
      </c>
      <c r="BH113" s="43">
        <f t="shared" si="148"/>
        <v>23.440476006710455</v>
      </c>
      <c r="BI113" s="41" t="str">
        <f t="shared" si="101"/>
        <v>688,231521235185+301,588304823649i</v>
      </c>
      <c r="BJ113" s="20">
        <f t="shared" si="149"/>
        <v>57.517548211842936</v>
      </c>
      <c r="BK113" s="43">
        <f t="shared" si="102"/>
        <v>23.663399508846549</v>
      </c>
      <c r="BL113">
        <f t="shared" si="150"/>
        <v>47.513545157775567</v>
      </c>
      <c r="BM113" s="43">
        <f t="shared" si="151"/>
        <v>23.440476006710455</v>
      </c>
    </row>
    <row r="114" spans="14:65" x14ac:dyDescent="0.25">
      <c r="N114" s="9">
        <v>96</v>
      </c>
      <c r="O114" s="34">
        <f t="shared" si="116"/>
        <v>91.201083935590972</v>
      </c>
      <c r="P114" s="33" t="str">
        <f t="shared" si="103"/>
        <v>54,631621870174</v>
      </c>
      <c r="Q114" s="4" t="str">
        <f t="shared" si="104"/>
        <v>1+4,56779193856046i</v>
      </c>
      <c r="R114" s="4">
        <f t="shared" si="117"/>
        <v>4.6759729676269437</v>
      </c>
      <c r="S114" s="4">
        <f t="shared" si="118"/>
        <v>1.3552724291524239</v>
      </c>
      <c r="T114" s="4" t="str">
        <f t="shared" si="105"/>
        <v>1+0,0114606662116591i</v>
      </c>
      <c r="U114" s="4">
        <f t="shared" si="119"/>
        <v>1.0000656712786491</v>
      </c>
      <c r="V114" s="4">
        <f t="shared" si="120"/>
        <v>1.1460164476987543E-2</v>
      </c>
      <c r="W114" t="str">
        <f t="shared" si="106"/>
        <v>1-0,00228029371112143i</v>
      </c>
      <c r="X114" s="4">
        <f t="shared" si="121"/>
        <v>1.0000025998663249</v>
      </c>
      <c r="Y114" s="4">
        <f t="shared" si="122"/>
        <v>-2.280289758822736E-3</v>
      </c>
      <c r="Z114" t="str">
        <f t="shared" si="107"/>
        <v>0,999999966729449+0,000313293912795355i</v>
      </c>
      <c r="AA114" s="4">
        <f t="shared" si="123"/>
        <v>1.0000000158059874</v>
      </c>
      <c r="AB114" s="4">
        <f t="shared" si="124"/>
        <v>3.1329391296856232E-4</v>
      </c>
      <c r="AC114" s="47" t="str">
        <f t="shared" si="125"/>
        <v>2,59989314445265-11,3913485411485i</v>
      </c>
      <c r="AD114" s="20">
        <f t="shared" si="126"/>
        <v>21.352034879333086</v>
      </c>
      <c r="AE114" s="43">
        <f t="shared" si="127"/>
        <v>-77.143372622027286</v>
      </c>
      <c r="AF114" t="str">
        <f t="shared" si="108"/>
        <v>171,265703090588</v>
      </c>
      <c r="AG114" t="str">
        <f t="shared" si="109"/>
        <v>1+4,52407809006249i</v>
      </c>
      <c r="AH114">
        <f t="shared" si="128"/>
        <v>4.6332798927955414</v>
      </c>
      <c r="AI114">
        <f t="shared" si="129"/>
        <v>1.3532547188603579</v>
      </c>
      <c r="AJ114" t="str">
        <f t="shared" si="110"/>
        <v>1+0,0114606662116591i</v>
      </c>
      <c r="AK114">
        <f t="shared" si="130"/>
        <v>1.0000656712786491</v>
      </c>
      <c r="AL114">
        <f t="shared" si="131"/>
        <v>1.1460164476987543E-2</v>
      </c>
      <c r="AM114" t="str">
        <f t="shared" si="111"/>
        <v>1-0,000720423556694904i</v>
      </c>
      <c r="AN114">
        <f t="shared" si="132"/>
        <v>1.0000002595050168</v>
      </c>
      <c r="AO114">
        <f t="shared" si="133"/>
        <v>-7.2042343205924188E-4</v>
      </c>
      <c r="AP114" s="41" t="str">
        <f t="shared" si="134"/>
        <v>8,36570092829314-36,0076490680405i</v>
      </c>
      <c r="AQ114">
        <f t="shared" si="135"/>
        <v>31.356209956853771</v>
      </c>
      <c r="AR114" s="43">
        <f t="shared" si="136"/>
        <v>-76.920442161923475</v>
      </c>
      <c r="AS114" t="str">
        <f t="shared" si="112"/>
        <v>-0,0000166666666666667</v>
      </c>
      <c r="AT114" t="str">
        <f t="shared" si="113"/>
        <v>8,72156698707261E-07i</v>
      </c>
      <c r="AU114">
        <f t="shared" si="137"/>
        <v>8.7215669870726101E-7</v>
      </c>
      <c r="AV114">
        <f t="shared" si="138"/>
        <v>1.5707963267948966</v>
      </c>
      <c r="AW114" t="str">
        <f t="shared" si="114"/>
        <v>1+0,00273339148149295i</v>
      </c>
      <c r="AX114">
        <f t="shared" si="139"/>
        <v>1.0000037357075178</v>
      </c>
      <c r="AY114">
        <f t="shared" si="140"/>
        <v>2.7333846740766805E-3</v>
      </c>
      <c r="AZ114" t="str">
        <f t="shared" si="115"/>
        <v>1+0,189100992492376i</v>
      </c>
      <c r="BA114">
        <f t="shared" si="141"/>
        <v>1.0177225483213004</v>
      </c>
      <c r="BB114">
        <f t="shared" si="142"/>
        <v>0.18689411955027174</v>
      </c>
      <c r="BC114" s="41" t="str">
        <f t="shared" si="143"/>
        <v>-3,56140528541159+19,1194505392969i</v>
      </c>
      <c r="BD114">
        <f t="shared" si="144"/>
        <v>25.777640062744567</v>
      </c>
      <c r="BE114" s="43">
        <f t="shared" si="145"/>
        <v>100.5516328604337</v>
      </c>
      <c r="BF114" s="41" t="str">
        <f t="shared" si="146"/>
        <v>208,537051822222+90,2777372852314i</v>
      </c>
      <c r="BG114" s="20">
        <f t="shared" si="147"/>
        <v>47.129674942077671</v>
      </c>
      <c r="BH114" s="43">
        <f t="shared" si="148"/>
        <v>23.408260238406374</v>
      </c>
      <c r="BI114" s="41" t="str">
        <f t="shared" ref="BI114:BI177" si="152">IMPRODUCT(AP114,BC114)</f>
        <v>658,652813890565+288,185436831216i</v>
      </c>
      <c r="BJ114" s="20">
        <f t="shared" si="149"/>
        <v>57.133850019598349</v>
      </c>
      <c r="BK114" s="43">
        <f t="shared" ref="BK114:BK177" si="153">(180/PI())*IMARGUMENT(BI114)</f>
        <v>23.631190698510213</v>
      </c>
      <c r="BL114">
        <f t="shared" si="150"/>
        <v>47.129674942077671</v>
      </c>
      <c r="BM114" s="43">
        <f t="shared" si="151"/>
        <v>23.408260238406374</v>
      </c>
    </row>
    <row r="115" spans="14:65" x14ac:dyDescent="0.25">
      <c r="N115" s="9">
        <v>97</v>
      </c>
      <c r="O115" s="34">
        <f t="shared" si="116"/>
        <v>93.325430079699174</v>
      </c>
      <c r="P115" s="33" t="str">
        <f t="shared" si="103"/>
        <v>54,631621870174</v>
      </c>
      <c r="Q115" s="4" t="str">
        <f t="shared" si="104"/>
        <v>1+4,67418948092545i</v>
      </c>
      <c r="R115" s="4">
        <f t="shared" si="117"/>
        <v>4.7799631069281414</v>
      </c>
      <c r="S115" s="4">
        <f t="shared" si="118"/>
        <v>1.3600327552062133</v>
      </c>
      <c r="T115" s="4" t="str">
        <f t="shared" si="105"/>
        <v>1+0,0117276194212596i</v>
      </c>
      <c r="U115" s="4">
        <f t="shared" si="119"/>
        <v>1.0000687661642522</v>
      </c>
      <c r="V115" s="4">
        <f t="shared" si="120"/>
        <v>1.172708180486947E-2</v>
      </c>
      <c r="W115" t="str">
        <f t="shared" si="106"/>
        <v>1-0,00233340857493244i</v>
      </c>
      <c r="X115" s="4">
        <f t="shared" si="121"/>
        <v>1.0000027223940831</v>
      </c>
      <c r="Y115" s="4">
        <f t="shared" si="122"/>
        <v>-2.3334043399687119E-3</v>
      </c>
      <c r="Z115" t="str">
        <f t="shared" si="107"/>
        <v>0,999999965161456+0,000320591465487705i</v>
      </c>
      <c r="AA115" s="4">
        <f t="shared" si="123"/>
        <v>1.0000000165509004</v>
      </c>
      <c r="AB115" s="4">
        <f t="shared" si="124"/>
        <v>3.2059146567330006E-4</v>
      </c>
      <c r="AC115" s="47" t="str">
        <f t="shared" si="125"/>
        <v>2,4925675641575-11,1550270594498i</v>
      </c>
      <c r="AD115" s="20">
        <f t="shared" si="126"/>
        <v>21.161011760486339</v>
      </c>
      <c r="AE115" s="43">
        <f t="shared" si="127"/>
        <v>-77.404287337950024</v>
      </c>
      <c r="AF115" t="str">
        <f t="shared" si="108"/>
        <v>171,265703090588</v>
      </c>
      <c r="AG115" t="str">
        <f t="shared" si="109"/>
        <v>1+4,62945740609185i</v>
      </c>
      <c r="AH115">
        <f t="shared" si="128"/>
        <v>4.736230133219741</v>
      </c>
      <c r="AI115">
        <f t="shared" si="129"/>
        <v>1.358056868750863</v>
      </c>
      <c r="AJ115" t="str">
        <f t="shared" si="110"/>
        <v>1+0,0117276194212596i</v>
      </c>
      <c r="AK115">
        <f t="shared" si="130"/>
        <v>1.0000687661642522</v>
      </c>
      <c r="AL115">
        <f t="shared" si="131"/>
        <v>1.172708180486947E-2</v>
      </c>
      <c r="AM115" t="str">
        <f t="shared" si="111"/>
        <v>1-0,000737204377039873i</v>
      </c>
      <c r="AN115">
        <f t="shared" si="132"/>
        <v>1.0000002717351097</v>
      </c>
      <c r="AO115">
        <f t="shared" si="133"/>
        <v>-7.3720424349035688E-4</v>
      </c>
      <c r="AP115" s="41" t="str">
        <f t="shared" si="134"/>
        <v>8,02345400154299-35,2619573900748i</v>
      </c>
      <c r="AQ115">
        <f t="shared" si="135"/>
        <v>31.165351739229781</v>
      </c>
      <c r="AR115" s="43">
        <f t="shared" si="136"/>
        <v>-77.181253316543859</v>
      </c>
      <c r="AS115" t="str">
        <f t="shared" si="112"/>
        <v>-0,0000166666666666667</v>
      </c>
      <c r="AT115" t="str">
        <f t="shared" si="113"/>
        <v>8,92471837957858E-07i</v>
      </c>
      <c r="AU115">
        <f t="shared" si="137"/>
        <v>8.9247183795785804E-7</v>
      </c>
      <c r="AV115">
        <f t="shared" si="138"/>
        <v>1.5707963267948966</v>
      </c>
      <c r="AW115" t="str">
        <f t="shared" si="114"/>
        <v>1+0,00279706034817165i</v>
      </c>
      <c r="AX115">
        <f t="shared" si="139"/>
        <v>1.0000039117656447</v>
      </c>
      <c r="AY115">
        <f t="shared" si="140"/>
        <v>2.7970530538952393E-3</v>
      </c>
      <c r="AZ115" t="str">
        <f t="shared" si="115"/>
        <v>1+0,193505720450784i</v>
      </c>
      <c r="BA115">
        <f t="shared" si="141"/>
        <v>1.0185501773831158</v>
      </c>
      <c r="BB115">
        <f t="shared" si="142"/>
        <v>0.19114333324480579</v>
      </c>
      <c r="BC115" s="41" t="str">
        <f t="shared" si="143"/>
        <v>-3,56140403138791+18,6846870475189i</v>
      </c>
      <c r="BD115">
        <f t="shared" si="144"/>
        <v>25.584699174274444</v>
      </c>
      <c r="BE115" s="43">
        <f t="shared" si="145"/>
        <v>100.79144694192763</v>
      </c>
      <c r="BF115" s="41" t="str">
        <f t="shared" si="146"/>
        <v>199,551149440927+86,3004032208451i</v>
      </c>
      <c r="BG115" s="20">
        <f t="shared" si="147"/>
        <v>46.745710934760766</v>
      </c>
      <c r="BH115" s="43">
        <f t="shared" si="148"/>
        <v>23.387159603977633</v>
      </c>
      <c r="BI115" s="41" t="str">
        <f t="shared" si="152"/>
        <v>630,283877089743+275,497804262635i</v>
      </c>
      <c r="BJ115" s="20">
        <f t="shared" si="149"/>
        <v>56.750050913504218</v>
      </c>
      <c r="BK115" s="43">
        <f t="shared" si="153"/>
        <v>23.610193625383776</v>
      </c>
      <c r="BL115">
        <f t="shared" si="150"/>
        <v>46.745710934760766</v>
      </c>
      <c r="BM115" s="43">
        <f t="shared" si="151"/>
        <v>23.387159603977633</v>
      </c>
    </row>
    <row r="116" spans="14:65" x14ac:dyDescent="0.25">
      <c r="N116" s="9">
        <v>98</v>
      </c>
      <c r="O116" s="34">
        <f t="shared" si="116"/>
        <v>95.499258602143655</v>
      </c>
      <c r="P116" s="33" t="str">
        <f t="shared" si="103"/>
        <v>54,631621870174</v>
      </c>
      <c r="Q116" s="4" t="str">
        <f t="shared" si="104"/>
        <v>1+4,78306534042343i</v>
      </c>
      <c r="R116" s="4">
        <f t="shared" si="117"/>
        <v>4.8864827893649529</v>
      </c>
      <c r="S116" s="4">
        <f t="shared" si="118"/>
        <v>1.3646941109776634</v>
      </c>
      <c r="T116" s="4" t="str">
        <f t="shared" si="105"/>
        <v>1+0,0120007907699107i</v>
      </c>
      <c r="U116" s="4">
        <f t="shared" si="119"/>
        <v>1.000072006897055</v>
      </c>
      <c r="V116" s="4">
        <f t="shared" si="120"/>
        <v>1.2000214705810008E-2</v>
      </c>
      <c r="W116" t="str">
        <f t="shared" si="106"/>
        <v>1-0,00238776064285619i</v>
      </c>
      <c r="X116" s="4">
        <f t="shared" si="121"/>
        <v>1.0000028506963805</v>
      </c>
      <c r="Y116" s="4">
        <f t="shared" si="122"/>
        <v>-2.3877561050114973E-3</v>
      </c>
      <c r="Z116" t="str">
        <f t="shared" si="107"/>
        <v>0,999999963519566+0,000328059000018586i</v>
      </c>
      <c r="AA116" s="4">
        <f t="shared" si="123"/>
        <v>1.0000000173309203</v>
      </c>
      <c r="AB116" s="4">
        <f t="shared" si="124"/>
        <v>3.2805900021745465E-4</v>
      </c>
      <c r="AC116" s="47" t="str">
        <f t="shared" si="125"/>
        <v>2,38965829740617-10,9226392963985i</v>
      </c>
      <c r="AD116" s="20">
        <f t="shared" si="126"/>
        <v>20.969604437516441</v>
      </c>
      <c r="AE116" s="43">
        <f t="shared" si="127"/>
        <v>-77.659255972951897</v>
      </c>
      <c r="AF116" t="str">
        <f t="shared" si="108"/>
        <v>171,265703090588</v>
      </c>
      <c r="AG116" t="str">
        <f t="shared" si="109"/>
        <v>1+4,73729132171603i</v>
      </c>
      <c r="AH116">
        <f t="shared" si="128"/>
        <v>4.8416865932034474</v>
      </c>
      <c r="AI116">
        <f t="shared" si="129"/>
        <v>1.3627593546910139</v>
      </c>
      <c r="AJ116" t="str">
        <f t="shared" si="110"/>
        <v>1+0,0120007907699107i</v>
      </c>
      <c r="AK116">
        <f t="shared" si="130"/>
        <v>1.000072006897055</v>
      </c>
      <c r="AL116">
        <f t="shared" si="131"/>
        <v>1.2000214705810008E-2</v>
      </c>
      <c r="AM116" t="str">
        <f t="shared" si="111"/>
        <v>1-0,000754376072903601i</v>
      </c>
      <c r="AN116">
        <f t="shared" si="132"/>
        <v>1.0000002845415892</v>
      </c>
      <c r="AO116">
        <f t="shared" si="133"/>
        <v>-7.5437592980271838E-4</v>
      </c>
      <c r="AP116" s="41" t="str">
        <f t="shared" si="134"/>
        <v>7,69526555944826-34,5285896327433i</v>
      </c>
      <c r="AQ116">
        <f t="shared" si="135"/>
        <v>30.974102453950131</v>
      </c>
      <c r="AR116" s="43">
        <f t="shared" si="136"/>
        <v>-77.436020416816916</v>
      </c>
      <c r="AS116" t="str">
        <f t="shared" si="112"/>
        <v>-0,0000166666666666667</v>
      </c>
      <c r="AT116" t="str">
        <f t="shared" si="113"/>
        <v>9,13260177590201E-07i</v>
      </c>
      <c r="AU116">
        <f t="shared" si="137"/>
        <v>9.1326017759020098E-7</v>
      </c>
      <c r="AV116">
        <f t="shared" si="138"/>
        <v>1.5707963267948966</v>
      </c>
      <c r="AW116" t="str">
        <f t="shared" si="114"/>
        <v>1+0,00286221225327041i</v>
      </c>
      <c r="AX116">
        <f t="shared" si="139"/>
        <v>1.0000040961211023</v>
      </c>
      <c r="AY116">
        <f t="shared" si="140"/>
        <v>2.8622044373141473E-3</v>
      </c>
      <c r="AZ116" t="str">
        <f t="shared" si="115"/>
        <v>1+0,198013047703526i</v>
      </c>
      <c r="BA116">
        <f t="shared" si="141"/>
        <v>1.0194160912310728</v>
      </c>
      <c r="BB116">
        <f t="shared" si="142"/>
        <v>0.19548430081796611</v>
      </c>
      <c r="BC116" s="41" t="str">
        <f t="shared" si="143"/>
        <v>-3,56140271826487+18,2598304238039i</v>
      </c>
      <c r="BD116">
        <f t="shared" si="144"/>
        <v>25.392078688848052</v>
      </c>
      <c r="BE116" s="43">
        <f t="shared" si="145"/>
        <v>101.03643316357352</v>
      </c>
      <c r="BF116" s="41" t="str">
        <f t="shared" si="146"/>
        <v>190,935005776507+82,5346725622929i</v>
      </c>
      <c r="BG116" s="20">
        <f t="shared" si="147"/>
        <v>46.361683126364497</v>
      </c>
      <c r="BH116" s="43">
        <f t="shared" si="148"/>
        <v>23.377177190621595</v>
      </c>
      <c r="BI116" s="41" t="str">
        <f t="shared" si="152"/>
        <v>603,080251785817+263,484457157568i</v>
      </c>
      <c r="BJ116" s="20">
        <f t="shared" si="149"/>
        <v>56.366181142798183</v>
      </c>
      <c r="BK116" s="43">
        <f t="shared" si="153"/>
        <v>23.600412746756611</v>
      </c>
      <c r="BL116">
        <f t="shared" si="150"/>
        <v>46.361683126364497</v>
      </c>
      <c r="BM116" s="43">
        <f t="shared" si="151"/>
        <v>23.377177190621595</v>
      </c>
    </row>
    <row r="117" spans="14:65" x14ac:dyDescent="0.25">
      <c r="N117" s="9">
        <v>99</v>
      </c>
      <c r="O117" s="34">
        <f t="shared" si="116"/>
        <v>97.723722095581124</v>
      </c>
      <c r="P117" s="33" t="str">
        <f t="shared" si="103"/>
        <v>54,631621870174</v>
      </c>
      <c r="Q117" s="4" t="str">
        <f t="shared" si="104"/>
        <v>1+4,89447724447625i</v>
      </c>
      <c r="R117" s="4">
        <f t="shared" si="117"/>
        <v>4.9955888038043952</v>
      </c>
      <c r="S117" s="4">
        <f t="shared" si="118"/>
        <v>1.3692581573375395</v>
      </c>
      <c r="T117" s="4" t="str">
        <f t="shared" si="105"/>
        <v>1+0,0122803250966771i</v>
      </c>
      <c r="U117" s="4">
        <f t="shared" si="119"/>
        <v>1.0000754003496337</v>
      </c>
      <c r="V117" s="4">
        <f t="shared" si="120"/>
        <v>1.2279707835385614E-2</v>
      </c>
      <c r="W117" t="str">
        <f t="shared" si="106"/>
        <v>1-0,00244337873307852i</v>
      </c>
      <c r="X117" s="4">
        <f t="shared" si="121"/>
        <v>1.0000029850453613</v>
      </c>
      <c r="Y117" s="4">
        <f t="shared" si="122"/>
        <v>-2.4433738706911112E-3</v>
      </c>
      <c r="Z117" t="str">
        <f t="shared" si="107"/>
        <v>0,999999961800297+0,00033570047577365i</v>
      </c>
      <c r="AA117" s="4">
        <f t="shared" si="123"/>
        <v>1.0000000181477022</v>
      </c>
      <c r="AB117" s="4">
        <f t="shared" si="124"/>
        <v>3.3570047598674132E-4</v>
      </c>
      <c r="AC117" s="47" t="str">
        <f t="shared" si="125"/>
        <v>2,29100077430307-10,6941832739297i</v>
      </c>
      <c r="AD117" s="20">
        <f t="shared" si="126"/>
        <v>20.777828868279819</v>
      </c>
      <c r="AE117" s="43">
        <f t="shared" si="127"/>
        <v>-77.908367277697437</v>
      </c>
      <c r="AF117" t="str">
        <f t="shared" si="108"/>
        <v>171,265703090588</v>
      </c>
      <c r="AG117" t="str">
        <f t="shared" si="109"/>
        <v>1+4,84763701190444i</v>
      </c>
      <c r="AH117">
        <f t="shared" si="128"/>
        <v>4.9497055063090176</v>
      </c>
      <c r="AI117">
        <f t="shared" si="129"/>
        <v>1.3673638377125841</v>
      </c>
      <c r="AJ117" t="str">
        <f t="shared" si="110"/>
        <v>1+0,0122803250966771i</v>
      </c>
      <c r="AK117">
        <f t="shared" si="130"/>
        <v>1.0000754003496337</v>
      </c>
      <c r="AL117">
        <f t="shared" si="131"/>
        <v>1.2279707835385614E-2</v>
      </c>
      <c r="AM117" t="str">
        <f t="shared" si="111"/>
        <v>1-0,000771947748946529i</v>
      </c>
      <c r="AN117">
        <f t="shared" si="132"/>
        <v>1.0000002979516192</v>
      </c>
      <c r="AO117">
        <f t="shared" si="133"/>
        <v>-7.7194759561117316E-4</v>
      </c>
      <c r="AP117" s="41" t="str">
        <f t="shared" si="134"/>
        <v>7,38061380714268-33,8075463241869i</v>
      </c>
      <c r="AQ117">
        <f t="shared" si="135"/>
        <v>30.782478310345383</v>
      </c>
      <c r="AR117" s="43">
        <f t="shared" si="136"/>
        <v>-77.684830866354773</v>
      </c>
      <c r="AS117" t="str">
        <f t="shared" si="112"/>
        <v>-0,0000166666666666667</v>
      </c>
      <c r="AT117" t="str">
        <f t="shared" si="113"/>
        <v>9,34532739857129E-07i</v>
      </c>
      <c r="AU117">
        <f t="shared" si="137"/>
        <v>9.3453273985712902E-7</v>
      </c>
      <c r="AV117">
        <f t="shared" si="138"/>
        <v>1.5707963267948966</v>
      </c>
      <c r="AW117" t="str">
        <f t="shared" si="114"/>
        <v>1+0,00292888174119172i</v>
      </c>
      <c r="AX117">
        <f t="shared" si="139"/>
        <v>1.0000042891649286</v>
      </c>
      <c r="AY117">
        <f t="shared" si="140"/>
        <v>2.9288733662456356E-3</v>
      </c>
      <c r="AZ117" t="str">
        <f t="shared" si="115"/>
        <v>1+0,202625364095173i</v>
      </c>
      <c r="BA117">
        <f t="shared" si="141"/>
        <v>1.0203220267026982</v>
      </c>
      <c r="BB117">
        <f t="shared" si="142"/>
        <v>0.19991866918444456</v>
      </c>
      <c r="BC117" s="41" t="str">
        <f t="shared" si="143"/>
        <v>-3,56140134325729+17,8446554035227i</v>
      </c>
      <c r="BD117">
        <f t="shared" si="144"/>
        <v>25.199792567319221</v>
      </c>
      <c r="BE117" s="43">
        <f t="shared" si="145"/>
        <v>101.28668390752661</v>
      </c>
      <c r="BF117" s="41" t="str">
        <f t="shared" si="146"/>
        <v>182,674842110385+78,9683980234549i</v>
      </c>
      <c r="BG117" s="20">
        <f t="shared" si="147"/>
        <v>45.977621435599033</v>
      </c>
      <c r="BH117" s="43">
        <f t="shared" si="148"/>
        <v>23.378316629829225</v>
      </c>
      <c r="BI117" s="41" t="str">
        <f t="shared" si="152"/>
        <v>576,998686266925+252,106750946135i</v>
      </c>
      <c r="BJ117" s="20">
        <f t="shared" si="149"/>
        <v>55.982270877664611</v>
      </c>
      <c r="BK117" s="43">
        <f t="shared" si="153"/>
        <v>23.601853041171825</v>
      </c>
      <c r="BL117">
        <f t="shared" si="150"/>
        <v>45.977621435599033</v>
      </c>
      <c r="BM117" s="43">
        <f t="shared" si="151"/>
        <v>23.378316629829225</v>
      </c>
    </row>
    <row r="118" spans="14:65" x14ac:dyDescent="0.25">
      <c r="N118" s="9">
        <v>100</v>
      </c>
      <c r="O118" s="34">
        <f t="shared" si="116"/>
        <v>100</v>
      </c>
      <c r="P118" s="33" t="str">
        <f t="shared" si="103"/>
        <v>54,631621870174</v>
      </c>
      <c r="Q118" s="4" t="str">
        <f t="shared" si="104"/>
        <v>1+5,00848426515016i</v>
      </c>
      <c r="R118" s="4">
        <f t="shared" si="117"/>
        <v>5.1073392910846183</v>
      </c>
      <c r="S118" s="4">
        <f t="shared" si="118"/>
        <v>1.3737265532743235</v>
      </c>
      <c r="T118" s="4" t="str">
        <f t="shared" si="105"/>
        <v>1+0,0125663706143592i</v>
      </c>
      <c r="U118" s="4">
        <f t="shared" si="119"/>
        <v>1.0000789537183639</v>
      </c>
      <c r="V118" s="4">
        <f t="shared" si="120"/>
        <v>1.2565709209789116E-2</v>
      </c>
      <c r="W118" t="str">
        <f t="shared" si="106"/>
        <v>1-0,00250029233504708i</v>
      </c>
      <c r="X118" s="4">
        <f t="shared" si="121"/>
        <v>1.0000031257259954</v>
      </c>
      <c r="Y118" s="4">
        <f t="shared" si="122"/>
        <v>-2.5002871249059813E-3</v>
      </c>
      <c r="Z118" t="str">
        <f t="shared" si="107"/>
        <v>0,99999996+0,000343519944364491i</v>
      </c>
      <c r="AA118" s="4">
        <f t="shared" si="123"/>
        <v>1.0000000190029767</v>
      </c>
      <c r="AB118" s="4">
        <f t="shared" si="124"/>
        <v>3.4351994459282261E-4</v>
      </c>
      <c r="AC118" s="47" t="str">
        <f t="shared" si="125"/>
        <v>2,19643509703896-10,4696521242151i</v>
      </c>
      <c r="AD118" s="20">
        <f t="shared" si="126"/>
        <v>20.585700418477924</v>
      </c>
      <c r="AE118" s="43">
        <f t="shared" si="127"/>
        <v>-78.151709746194314</v>
      </c>
      <c r="AF118" t="str">
        <f t="shared" si="108"/>
        <v>171,265703090588</v>
      </c>
      <c r="AG118" t="str">
        <f t="shared" si="109"/>
        <v>1+4,96055298340263i</v>
      </c>
      <c r="AH118">
        <f t="shared" si="128"/>
        <v>5.0603444449113075</v>
      </c>
      <c r="AI118">
        <f t="shared" si="129"/>
        <v>1.3718719778407307</v>
      </c>
      <c r="AJ118" t="str">
        <f t="shared" si="110"/>
        <v>1+0,0125663706143592i</v>
      </c>
      <c r="AK118">
        <f t="shared" si="130"/>
        <v>1.0000789537183639</v>
      </c>
      <c r="AL118">
        <f t="shared" si="131"/>
        <v>1.2565709209789116E-2</v>
      </c>
      <c r="AM118" t="str">
        <f t="shared" si="111"/>
        <v>1-0,000789928721903887i</v>
      </c>
      <c r="AN118">
        <f t="shared" si="132"/>
        <v>1.0000003119936443</v>
      </c>
      <c r="AO118">
        <f t="shared" si="133"/>
        <v>-7.8992855760209586E-4</v>
      </c>
      <c r="AP118" s="41" t="str">
        <f t="shared" si="134"/>
        <v>7,07899157902433-33,0988121961944i</v>
      </c>
      <c r="AQ118">
        <f t="shared" si="135"/>
        <v>30.590494918336827</v>
      </c>
      <c r="AR118" s="43">
        <f t="shared" si="136"/>
        <v>-77.927771830696543</v>
      </c>
      <c r="AS118" t="str">
        <f t="shared" si="112"/>
        <v>-0,0000166666666666667</v>
      </c>
      <c r="AT118" t="str">
        <f t="shared" si="113"/>
        <v>9,56300803752733E-07i</v>
      </c>
      <c r="AU118">
        <f t="shared" si="137"/>
        <v>9.5630080375273309E-7</v>
      </c>
      <c r="AV118">
        <f t="shared" si="138"/>
        <v>1.5707963267948966</v>
      </c>
      <c r="AW118" t="str">
        <f t="shared" si="114"/>
        <v>1+0,00299710416098054i</v>
      </c>
      <c r="AX118">
        <f t="shared" si="139"/>
        <v>1.00000449130659</v>
      </c>
      <c r="AY118">
        <f t="shared" si="140"/>
        <v>2.9970951870663073E-3</v>
      </c>
      <c r="AZ118" t="str">
        <f t="shared" si="115"/>
        <v>1+0,207345115136926i</v>
      </c>
      <c r="BA118">
        <f t="shared" si="141"/>
        <v>1.0212697962689121</v>
      </c>
      <c r="BB118">
        <f t="shared" si="142"/>
        <v>0.20444809160695532</v>
      </c>
      <c r="BC118" s="41" t="str">
        <f t="shared" si="143"/>
        <v>-3,56139990344872+17,4389418553587i</v>
      </c>
      <c r="BD118">
        <f t="shared" si="144"/>
        <v>25.007855325082936</v>
      </c>
      <c r="BE118" s="43">
        <f t="shared" si="145"/>
        <v>101.54229187356466</v>
      </c>
      <c r="BF118" s="41" t="str">
        <f t="shared" si="146"/>
        <v>174,757270897494+75,5901220106529i</v>
      </c>
      <c r="BG118" s="20">
        <f t="shared" si="147"/>
        <v>45.593555743560863</v>
      </c>
      <c r="BH118" s="43">
        <f t="shared" si="148"/>
        <v>23.390582127370347</v>
      </c>
      <c r="BI118" s="41" t="str">
        <f t="shared" si="152"/>
        <v>551,99714144482+241,328229100973i</v>
      </c>
      <c r="BJ118" s="20">
        <f t="shared" si="149"/>
        <v>55.598350243419759</v>
      </c>
      <c r="BK118" s="43">
        <f t="shared" si="153"/>
        <v>23.614520042868126</v>
      </c>
      <c r="BL118">
        <f t="shared" si="150"/>
        <v>45.593555743560863</v>
      </c>
      <c r="BM118" s="43">
        <f t="shared" si="151"/>
        <v>23.390582127370347</v>
      </c>
    </row>
    <row r="119" spans="14:65" x14ac:dyDescent="0.25">
      <c r="N119" s="9">
        <v>1</v>
      </c>
      <c r="O119" s="34">
        <f>10^(2+(N119/100))</f>
        <v>102.32929922807544</v>
      </c>
      <c r="P119" s="33" t="str">
        <f t="shared" si="103"/>
        <v>54,631621870174</v>
      </c>
      <c r="Q119" s="4" t="str">
        <f t="shared" si="104"/>
        <v>1+5,12514685047658i</v>
      </c>
      <c r="R119" s="4">
        <f t="shared" si="117"/>
        <v>5.221793775988286</v>
      </c>
      <c r="S119" s="4">
        <f t="shared" si="118"/>
        <v>1.3781009539039064</v>
      </c>
      <c r="T119" s="4" t="str">
        <f t="shared" si="105"/>
        <v>1+0,0128590789880765i</v>
      </c>
      <c r="U119" s="4">
        <f t="shared" si="119"/>
        <v>1.0000826745386711</v>
      </c>
      <c r="V119" s="4">
        <f t="shared" si="120"/>
        <v>1.2858370283475277E-2</v>
      </c>
      <c r="W119" t="str">
        <f t="shared" si="106"/>
        <v>1-0,00255853162510696i</v>
      </c>
      <c r="X119" s="4">
        <f t="shared" si="121"/>
        <v>1.0000032730366819</v>
      </c>
      <c r="Y119" s="4">
        <f t="shared" si="122"/>
        <v>-2.5585260423411768E-3</v>
      </c>
      <c r="Z119" t="str">
        <f t="shared" si="107"/>
        <v>0,999999958114858+0,000351521551776859i</v>
      </c>
      <c r="AA119" s="4">
        <f t="shared" si="123"/>
        <v>1.0000000198985592</v>
      </c>
      <c r="AB119" s="4">
        <f t="shared" si="124"/>
        <v>3.5152155202152076E-4</v>
      </c>
      <c r="AC119" s="47" t="str">
        <f t="shared" si="125"/>
        <v>2,10580603729134-10,2490344406707i</v>
      </c>
      <c r="AD119" s="20">
        <f t="shared" si="126"/>
        <v>20.393233878931632</v>
      </c>
      <c r="AE119" s="43">
        <f t="shared" si="127"/>
        <v>-78.389371498326284</v>
      </c>
      <c r="AF119" t="str">
        <f t="shared" si="108"/>
        <v>171,265703090588</v>
      </c>
      <c r="AG119" t="str">
        <f t="shared" si="109"/>
        <v>1+5,0760991057533i</v>
      </c>
      <c r="AH119">
        <f t="shared" si="128"/>
        <v>5.1736623518963292</v>
      </c>
      <c r="AI119">
        <f t="shared" si="129"/>
        <v>1.3762854320412126</v>
      </c>
      <c r="AJ119" t="str">
        <f t="shared" si="110"/>
        <v>1+0,0128590789880765i</v>
      </c>
      <c r="AK119">
        <f t="shared" si="130"/>
        <v>1.0000826745386711</v>
      </c>
      <c r="AL119">
        <f t="shared" si="131"/>
        <v>1.2858370283475277E-2</v>
      </c>
      <c r="AM119" t="str">
        <f t="shared" si="111"/>
        <v>1-0,00080832852552554i</v>
      </c>
      <c r="AN119">
        <f t="shared" si="132"/>
        <v>1.0000003266974493</v>
      </c>
      <c r="AO119">
        <f t="shared" si="133"/>
        <v>-8.0832834947300205E-4</v>
      </c>
      <c r="AP119" s="41" t="str">
        <f t="shared" si="134"/>
        <v>6,78990635074409-32,4023573044227i</v>
      </c>
      <c r="AQ119">
        <f t="shared" si="135"/>
        <v>30.398167305705538</v>
      </c>
      <c r="AR119" s="43">
        <f t="shared" si="136"/>
        <v>-78.164930115526559</v>
      </c>
      <c r="AS119" t="str">
        <f t="shared" si="112"/>
        <v>-0,0000166666666666667</v>
      </c>
      <c r="AT119" t="str">
        <f t="shared" si="113"/>
        <v>9,78575910992625E-07i</v>
      </c>
      <c r="AU119">
        <f t="shared" si="137"/>
        <v>9.785759109926251E-7</v>
      </c>
      <c r="AV119">
        <f t="shared" si="138"/>
        <v>1.5707963267948966</v>
      </c>
      <c r="AW119" t="str">
        <f t="shared" si="114"/>
        <v>1+0,00306691568506687i</v>
      </c>
      <c r="AX119">
        <f t="shared" si="139"/>
        <v>1.0000047029748507</v>
      </c>
      <c r="AY119">
        <f t="shared" si="140"/>
        <v>3.0669060693469682E-3</v>
      </c>
      <c r="AZ119" t="str">
        <f t="shared" si="115"/>
        <v>1+0,212174803303263i</v>
      </c>
      <c r="BA119">
        <f t="shared" si="141"/>
        <v>1.022261291039027</v>
      </c>
      <c r="BB119">
        <f t="shared" si="142"/>
        <v>0.20907422590146668</v>
      </c>
      <c r="BC119" s="41" t="str">
        <f t="shared" si="143"/>
        <v>-3,56139839578534+17,0424746645912i</v>
      </c>
      <c r="BD119">
        <f t="shared" si="144"/>
        <v>24.816282049143187</v>
      </c>
      <c r="BE119" s="43">
        <f t="shared" si="145"/>
        <v>101.80334997518216</v>
      </c>
      <c r="BF119" s="41" t="str">
        <f t="shared" si="146"/>
        <v>167,169295548609+72,3890408544342i</v>
      </c>
      <c r="BG119" s="20">
        <f t="shared" si="147"/>
        <v>45.209515928074843</v>
      </c>
      <c r="BH119" s="43">
        <f t="shared" si="148"/>
        <v>23.413978476855835</v>
      </c>
      <c r="BI119" s="41" t="str">
        <f t="shared" si="152"/>
        <v>528,034791848583+231,114510281137i</v>
      </c>
      <c r="BJ119" s="20">
        <f t="shared" si="149"/>
        <v>55.214449354848725</v>
      </c>
      <c r="BK119" s="43">
        <f t="shared" si="153"/>
        <v>23.638419859655556</v>
      </c>
      <c r="BL119">
        <f t="shared" si="150"/>
        <v>45.209515928074843</v>
      </c>
      <c r="BM119" s="43">
        <f t="shared" si="151"/>
        <v>23.413978476855835</v>
      </c>
    </row>
    <row r="120" spans="14:65" x14ac:dyDescent="0.25">
      <c r="N120" s="9">
        <v>2</v>
      </c>
      <c r="O120" s="34">
        <f t="shared" ref="O120:O183" si="154">10^(2+(N120/100))</f>
        <v>104.71285480508998</v>
      </c>
      <c r="P120" s="33" t="str">
        <f t="shared" si="103"/>
        <v>54,631621870174</v>
      </c>
      <c r="Q120" s="4" t="str">
        <f t="shared" si="104"/>
        <v>1+5,24452685650247i</v>
      </c>
      <c r="R120" s="4">
        <f t="shared" si="117"/>
        <v>5.3390131998877548</v>
      </c>
      <c r="S120" s="4">
        <f t="shared" si="118"/>
        <v>1.3823830086242375</v>
      </c>
      <c r="T120" s="4" t="str">
        <f t="shared" si="105"/>
        <v>1+0,0131586054156834i</v>
      </c>
      <c r="U120" s="4">
        <f t="shared" si="119"/>
        <v>1.0000865707009996</v>
      </c>
      <c r="V120" s="4">
        <f t="shared" si="120"/>
        <v>1.3157846028571724E-2</v>
      </c>
      <c r="W120" t="str">
        <f t="shared" si="106"/>
        <v>1-0,00261812748250064i</v>
      </c>
      <c r="X120" s="4">
        <f t="shared" si="121"/>
        <v>1.0000034272898841</v>
      </c>
      <c r="Y120" s="4">
        <f t="shared" si="122"/>
        <v>-2.6181215004604341E-3</v>
      </c>
      <c r="Z120" t="str">
        <f t="shared" si="107"/>
        <v>0,999999956140872+0,000359709540568916i</v>
      </c>
      <c r="AA120" s="4">
        <f t="shared" si="123"/>
        <v>1.0000000208363495</v>
      </c>
      <c r="AB120" s="4">
        <f t="shared" si="124"/>
        <v>3.5970954083107583E-4</v>
      </c>
      <c r="AC120" s="47" t="str">
        <f t="shared" si="125"/>
        <v>2,01896301933535-10,032314613463i</v>
      </c>
      <c r="AD120" s="20">
        <f t="shared" si="126"/>
        <v>20.200443482826135</v>
      </c>
      <c r="AE120" s="43">
        <f t="shared" si="127"/>
        <v>-78.621440170614633</v>
      </c>
      <c r="AF120" t="str">
        <f t="shared" si="108"/>
        <v>171,265703090588</v>
      </c>
      <c r="AG120" t="str">
        <f t="shared" si="109"/>
        <v>1+5,19433664303995i</v>
      </c>
      <c r="AH120">
        <f t="shared" si="128"/>
        <v>5.2897195730234641</v>
      </c>
      <c r="AI120">
        <f t="shared" si="129"/>
        <v>1.3806058523152984</v>
      </c>
      <c r="AJ120" t="str">
        <f t="shared" si="110"/>
        <v>1+0,0131586054156834i</v>
      </c>
      <c r="AK120">
        <f t="shared" si="130"/>
        <v>1.0000865707009996</v>
      </c>
      <c r="AL120">
        <f t="shared" si="131"/>
        <v>1.3157846028571724E-2</v>
      </c>
      <c r="AM120" t="str">
        <f t="shared" si="111"/>
        <v>1-0,00082715691563092i</v>
      </c>
      <c r="AN120">
        <f t="shared" si="132"/>
        <v>1.0000003420942229</v>
      </c>
      <c r="AO120">
        <f t="shared" si="133"/>
        <v>-8.271567269872303E-4</v>
      </c>
      <c r="AP120" s="41" t="str">
        <f t="shared" si="134"/>
        <v>6,51288020440471-31,718138099982i</v>
      </c>
      <c r="AQ120">
        <f t="shared" si="135"/>
        <v>30.205509935353604</v>
      </c>
      <c r="AR120" s="43">
        <f t="shared" si="136"/>
        <v>-78.396392053260499</v>
      </c>
      <c r="AS120" t="str">
        <f t="shared" si="112"/>
        <v>-0,0000166666666666667</v>
      </c>
      <c r="AT120" t="str">
        <f t="shared" si="113"/>
        <v>1,00136987213351E-06i</v>
      </c>
      <c r="AU120">
        <f t="shared" si="137"/>
        <v>1.00136987213351E-6</v>
      </c>
      <c r="AV120">
        <f t="shared" si="138"/>
        <v>1.5707963267948966</v>
      </c>
      <c r="AW120" t="str">
        <f t="shared" si="114"/>
        <v>1+0,00313835332844486i</v>
      </c>
      <c r="AX120">
        <f t="shared" si="139"/>
        <v>1.0000049246186811</v>
      </c>
      <c r="AY120">
        <f t="shared" si="140"/>
        <v>3.1383430250180918E-3</v>
      </c>
      <c r="AZ120" t="str">
        <f t="shared" si="115"/>
        <v>1+0,217116989358776i</v>
      </c>
      <c r="BA120">
        <f t="shared" si="141"/>
        <v>1.0232984838590444</v>
      </c>
      <c r="BB120">
        <f t="shared" si="142"/>
        <v>0.21379873249982287</v>
      </c>
      <c r="BC120" s="41" t="str">
        <f t="shared" si="143"/>
        <v>-3,56139681706931+16,6550436190387i</v>
      </c>
      <c r="BD120">
        <f t="shared" si="144"/>
        <v>24.625088415235243</v>
      </c>
      <c r="BE120" s="43">
        <f t="shared" si="145"/>
        <v>102.06995122748849</v>
      </c>
      <c r="BF120" s="41" t="str">
        <f t="shared" si="146"/>
        <v>159,898309016304+69,3549704844814i</v>
      </c>
      <c r="BG120" s="20">
        <f t="shared" si="147"/>
        <v>44.825531898061371</v>
      </c>
      <c r="BH120" s="43">
        <f t="shared" si="148"/>
        <v>23.448511056873865</v>
      </c>
      <c r="BI120" s="41" t="str">
        <f t="shared" si="152"/>
        <v>505,072022739973+221,433179962575i</v>
      </c>
      <c r="BJ120" s="20">
        <f t="shared" si="149"/>
        <v>54.830598350588851</v>
      </c>
      <c r="BK120" s="43">
        <f t="shared" si="153"/>
        <v>23.673559174227993</v>
      </c>
      <c r="BL120">
        <f t="shared" si="150"/>
        <v>44.825531898061371</v>
      </c>
      <c r="BM120" s="43">
        <f t="shared" si="151"/>
        <v>23.448511056873865</v>
      </c>
    </row>
    <row r="121" spans="14:65" x14ac:dyDescent="0.25">
      <c r="N121" s="9">
        <v>3</v>
      </c>
      <c r="O121" s="34">
        <f t="shared" si="154"/>
        <v>107.15193052376065</v>
      </c>
      <c r="P121" s="33" t="str">
        <f t="shared" si="103"/>
        <v>54,631621870174</v>
      </c>
      <c r="Q121" s="4" t="str">
        <f t="shared" si="104"/>
        <v>1+5,36668758008719i</v>
      </c>
      <c r="R121" s="4">
        <f t="shared" si="117"/>
        <v>5.4590599540820293</v>
      </c>
      <c r="S121" s="4">
        <f t="shared" si="118"/>
        <v>1.386574359408393</v>
      </c>
      <c r="T121" s="4" t="str">
        <f t="shared" si="105"/>
        <v>1+0,0134651087100564i</v>
      </c>
      <c r="U121" s="4">
        <f t="shared" si="119"/>
        <v>1.0000906504675331</v>
      </c>
      <c r="V121" s="4">
        <f t="shared" si="120"/>
        <v>1.3464295016089487E-2</v>
      </c>
      <c r="W121" t="str">
        <f t="shared" si="106"/>
        <v>1-0,00267911150574056i</v>
      </c>
      <c r="X121" s="4">
        <f t="shared" si="121"/>
        <v>1.0000035888127903</v>
      </c>
      <c r="Y121" s="4">
        <f t="shared" si="122"/>
        <v>-2.6791050958702373E-3</v>
      </c>
      <c r="Z121" t="str">
        <f t="shared" si="107"/>
        <v>0,999999954073855+0,000368088252120701i</v>
      </c>
      <c r="AA121" s="4">
        <f t="shared" si="123"/>
        <v>1.0000000218183365</v>
      </c>
      <c r="AB121" s="4">
        <f t="shared" si="124"/>
        <v>3.6808825240161028E-4</v>
      </c>
      <c r="AC121" s="47" t="str">
        <f t="shared" si="125"/>
        <v>1,93576009033715-9,81947314961654i</v>
      </c>
      <c r="AD121" s="20">
        <f t="shared" si="126"/>
        <v>20.007342922876798</v>
      </c>
      <c r="AE121" s="43">
        <f t="shared" si="127"/>
        <v>-78.848002814832014</v>
      </c>
      <c r="AF121" t="str">
        <f t="shared" si="108"/>
        <v>171,265703090588</v>
      </c>
      <c r="AG121" t="str">
        <f t="shared" si="109"/>
        <v>1+5,31532828636992i</v>
      </c>
      <c r="AH121">
        <f t="shared" si="128"/>
        <v>5.4085778899710961</v>
      </c>
      <c r="AI121">
        <f t="shared" si="129"/>
        <v>1.3848348839358204</v>
      </c>
      <c r="AJ121" t="str">
        <f t="shared" si="110"/>
        <v>1+0,0134651087100564i</v>
      </c>
      <c r="AK121">
        <f t="shared" si="130"/>
        <v>1.0000906504675331</v>
      </c>
      <c r="AL121">
        <f t="shared" si="131"/>
        <v>1.3464295016089487E-2</v>
      </c>
      <c r="AM121" t="str">
        <f t="shared" si="111"/>
        <v>1-0,000846423875281683i</v>
      </c>
      <c r="AN121">
        <f t="shared" si="132"/>
        <v>1.0000003582166241</v>
      </c>
      <c r="AO121">
        <f t="shared" si="133"/>
        <v>-8.4642367314633155E-4</v>
      </c>
      <c r="AP121" s="41" t="str">
        <f t="shared" si="134"/>
        <v>6,24744975170474-31,0460984526047i</v>
      </c>
      <c r="AQ121">
        <f t="shared" si="135"/>
        <v>30.012536722506621</v>
      </c>
      <c r="AR121" s="43">
        <f t="shared" si="136"/>
        <v>-78.622243397622</v>
      </c>
      <c r="AS121" t="str">
        <f t="shared" si="112"/>
        <v>-0,0000166666666666667</v>
      </c>
      <c r="AT121" t="str">
        <f t="shared" si="113"/>
        <v>1,02469477283529E-06i</v>
      </c>
      <c r="AU121">
        <f t="shared" si="137"/>
        <v>1.0246947728352901E-6</v>
      </c>
      <c r="AV121">
        <f t="shared" si="138"/>
        <v>1.5707963267948966</v>
      </c>
      <c r="AW121" t="str">
        <f t="shared" si="114"/>
        <v>1+0,00321145496829861i</v>
      </c>
      <c r="AX121">
        <f t="shared" si="139"/>
        <v>1.0000051567082109</v>
      </c>
      <c r="AY121">
        <f t="shared" si="140"/>
        <v>3.2114439279809929E-3</v>
      </c>
      <c r="AZ121" t="str">
        <f t="shared" si="115"/>
        <v>1+0,222174293715931i</v>
      </c>
      <c r="BA121">
        <f t="shared" si="141"/>
        <v>1.024383432503754</v>
      </c>
      <c r="BB121">
        <f t="shared" si="142"/>
        <v>0.21862327236323578</v>
      </c>
      <c r="BC121" s="41" t="str">
        <f t="shared" si="143"/>
        <v>-3,56139516395222+16,2764432976016i</v>
      </c>
      <c r="BD121">
        <f t="shared" si="144"/>
        <v>24.434290704949092</v>
      </c>
      <c r="BE121" s="43">
        <f t="shared" si="145"/>
        <v>102.34218862653628</v>
      </c>
      <c r="BF121" s="41" t="str">
        <f t="shared" si="146"/>
        <v>152,932091307757+66,4783135357358i</v>
      </c>
      <c r="BG121" s="20">
        <f t="shared" si="147"/>
        <v>44.441633627825908</v>
      </c>
      <c r="BH121" s="43">
        <f t="shared" si="148"/>
        <v>23.49418581170422</v>
      </c>
      <c r="BI121" s="41" t="str">
        <f t="shared" si="152"/>
        <v>483,070423742821+212,253686526928i</v>
      </c>
      <c r="BJ121" s="20">
        <f t="shared" si="149"/>
        <v>54.446827427455702</v>
      </c>
      <c r="BK121" s="43">
        <f t="shared" si="153"/>
        <v>23.719945228914266</v>
      </c>
      <c r="BL121">
        <f t="shared" si="150"/>
        <v>44.441633627825908</v>
      </c>
      <c r="BM121" s="43">
        <f t="shared" si="151"/>
        <v>23.49418581170422</v>
      </c>
    </row>
    <row r="122" spans="14:65" x14ac:dyDescent="0.25">
      <c r="N122" s="9">
        <v>4</v>
      </c>
      <c r="O122" s="34">
        <f t="shared" si="154"/>
        <v>109.64781961431861</v>
      </c>
      <c r="P122" s="33" t="str">
        <f t="shared" si="103"/>
        <v>54,631621870174</v>
      </c>
      <c r="Q122" s="4" t="str">
        <f t="shared" si="104"/>
        <v>1+5,49169379246338i</v>
      </c>
      <c r="R122" s="4">
        <f t="shared" si="117"/>
        <v>5.5819979138459752</v>
      </c>
      <c r="S122" s="4">
        <f t="shared" si="118"/>
        <v>1.3906766392296086</v>
      </c>
      <c r="T122" s="4" t="str">
        <f t="shared" si="105"/>
        <v>1+0,0137787513832993i</v>
      </c>
      <c r="U122" s="4">
        <f t="shared" si="119"/>
        <v>1.0000949224897018</v>
      </c>
      <c r="V122" s="4">
        <f t="shared" si="120"/>
        <v>1.3777879498974587E-2</v>
      </c>
      <c r="W122" t="str">
        <f t="shared" si="106"/>
        <v>1-0,00274151602936305i</v>
      </c>
      <c r="X122" s="4">
        <f t="shared" si="121"/>
        <v>1.0000037579480086</v>
      </c>
      <c r="Y122" s="4">
        <f t="shared" si="122"/>
        <v>-2.7415091610646491E-3</v>
      </c>
      <c r="Z122" t="str">
        <f t="shared" si="107"/>
        <v>0,999999951909423+0,000376662128935985i</v>
      </c>
      <c r="AA122" s="4">
        <f t="shared" si="123"/>
        <v>1.0000000228466035</v>
      </c>
      <c r="AB122" s="4">
        <f t="shared" si="124"/>
        <v>3.766621292369845E-4</v>
      </c>
      <c r="AC122" s="47" t="str">
        <f t="shared" si="125"/>
        <v>1,8560558792099-9,61048697789867i</v>
      </c>
      <c r="AD122" s="20">
        <f t="shared" si="126"/>
        <v>19.813945368371662</v>
      </c>
      <c r="AE122" s="43">
        <f t="shared" si="127"/>
        <v>-79.069145804096067</v>
      </c>
      <c r="AF122" t="str">
        <f t="shared" si="108"/>
        <v>171,265703090588</v>
      </c>
      <c r="AG122" t="str">
        <f t="shared" si="109"/>
        <v>1+5,43913818711401i</v>
      </c>
      <c r="AH122">
        <f t="shared" si="128"/>
        <v>5.5303005540858168</v>
      </c>
      <c r="AI122">
        <f t="shared" si="129"/>
        <v>1.3889741638178754</v>
      </c>
      <c r="AJ122" t="str">
        <f t="shared" si="110"/>
        <v>1+0,0137787513832993i</v>
      </c>
      <c r="AK122">
        <f t="shared" si="130"/>
        <v>1.0000949224897018</v>
      </c>
      <c r="AL122">
        <f t="shared" si="131"/>
        <v>1.3777879498974587E-2</v>
      </c>
      <c r="AM122" t="str">
        <f t="shared" si="111"/>
        <v>1-0,000866139620074865i</v>
      </c>
      <c r="AN122">
        <f t="shared" si="132"/>
        <v>1.0000003750988504</v>
      </c>
      <c r="AO122">
        <f t="shared" si="133"/>
        <v>-8.6613940348293796E-4</v>
      </c>
      <c r="AP122" s="41" t="str">
        <f t="shared" si="134"/>
        <v>5,99316601947108-30,3861706258548i</v>
      </c>
      <c r="AQ122">
        <f t="shared" si="135"/>
        <v>29.819261051810035</v>
      </c>
      <c r="AR122" s="43">
        <f t="shared" si="136"/>
        <v>-78.842569225835362</v>
      </c>
      <c r="AS122" t="str">
        <f t="shared" si="112"/>
        <v>-0,0000166666666666667</v>
      </c>
      <c r="AT122" t="str">
        <f t="shared" si="113"/>
        <v>1,04856298026908E-06i</v>
      </c>
      <c r="AU122">
        <f t="shared" si="137"/>
        <v>1.0485629802690801E-6</v>
      </c>
      <c r="AV122">
        <f t="shared" si="138"/>
        <v>1.5707963267948966</v>
      </c>
      <c r="AW122" t="str">
        <f t="shared" si="114"/>
        <v>1+0,00328625936408517i</v>
      </c>
      <c r="AX122">
        <f t="shared" si="139"/>
        <v>1.0000053997357254</v>
      </c>
      <c r="AY122">
        <f t="shared" si="140"/>
        <v>3.2862475341751576E-3</v>
      </c>
      <c r="AZ122" t="str">
        <f t="shared" si="115"/>
        <v>1+0,227349397824438i</v>
      </c>
      <c r="BA122">
        <f t="shared" si="141"/>
        <v>1.0255182829628806</v>
      </c>
      <c r="BB122">
        <f t="shared" si="142"/>
        <v>0.22354950474006471</v>
      </c>
      <c r="BC122" s="41" t="str">
        <f t="shared" si="143"/>
        <v>-3,56139343292772+15,9064729613444i</v>
      </c>
      <c r="BD122">
        <f t="shared" si="144"/>
        <v>24.243905822794542</v>
      </c>
      <c r="BE122" s="43">
        <f t="shared" si="145"/>
        <v>102.62015501970197</v>
      </c>
      <c r="BF122" s="41" t="str">
        <f t="shared" si="146"/>
        <v>146,258806039933+63,7500278677223i</v>
      </c>
      <c r="BG122" s="20">
        <f t="shared" si="147"/>
        <v>44.057851191166222</v>
      </c>
      <c r="BH122" s="43">
        <f t="shared" si="148"/>
        <v>23.551009215605866</v>
      </c>
      <c r="BI122" s="41" t="str">
        <f t="shared" si="152"/>
        <v>461,992779354767+203,547241760305i</v>
      </c>
      <c r="BJ122" s="20">
        <f t="shared" si="149"/>
        <v>54.063166874604576</v>
      </c>
      <c r="BK122" s="43">
        <f t="shared" si="153"/>
        <v>23.777585793866585</v>
      </c>
      <c r="BL122">
        <f t="shared" si="150"/>
        <v>44.057851191166222</v>
      </c>
      <c r="BM122" s="43">
        <f t="shared" si="151"/>
        <v>23.551009215605866</v>
      </c>
    </row>
    <row r="123" spans="14:65" x14ac:dyDescent="0.25">
      <c r="N123" s="9">
        <v>5</v>
      </c>
      <c r="O123" s="34">
        <f t="shared" si="154"/>
        <v>112.20184543019634</v>
      </c>
      <c r="P123" s="33" t="str">
        <f t="shared" si="103"/>
        <v>54,631621870174</v>
      </c>
      <c r="Q123" s="4" t="str">
        <f t="shared" si="104"/>
        <v>1+5,61961177357949i</v>
      </c>
      <c r="R123" s="4">
        <f t="shared" si="117"/>
        <v>5.7078924732122651</v>
      </c>
      <c r="S123" s="4">
        <f t="shared" si="118"/>
        <v>1.3946914706118825</v>
      </c>
      <c r="T123" s="4" t="str">
        <f t="shared" si="105"/>
        <v>1+0,0140996997329089i</v>
      </c>
      <c r="U123" s="4">
        <f t="shared" si="119"/>
        <v>1.0000993958265139</v>
      </c>
      <c r="V123" s="4">
        <f t="shared" si="120"/>
        <v>1.4098765497037712E-2</v>
      </c>
      <c r="W123" t="str">
        <f t="shared" si="106"/>
        <v>1-0,00280537414107257i</v>
      </c>
      <c r="X123" s="4">
        <f t="shared" si="121"/>
        <v>1.0000039350542933</v>
      </c>
      <c r="Y123" s="4">
        <f t="shared" si="122"/>
        <v>-2.8053667815598031E-3</v>
      </c>
      <c r="Z123" t="str">
        <f t="shared" si="107"/>
        <v>0,999999949642984+0,000385435716997743i</v>
      </c>
      <c r="AA123" s="4">
        <f t="shared" si="123"/>
        <v>1.0000000239233311</v>
      </c>
      <c r="AB123" s="4">
        <f t="shared" si="124"/>
        <v>3.8543571732026975E-4</v>
      </c>
      <c r="AC123" s="47" t="str">
        <f t="shared" si="125"/>
        <v>1,77971354532241-9,40532973872134i</v>
      </c>
      <c r="AD123" s="20">
        <f t="shared" si="126"/>
        <v>19.620263482051318</v>
      </c>
      <c r="AE123" s="43">
        <f t="shared" si="127"/>
        <v>-79.28495474607567</v>
      </c>
      <c r="AF123" t="str">
        <f t="shared" si="108"/>
        <v>171,265703090588</v>
      </c>
      <c r="AG123" t="str">
        <f t="shared" si="109"/>
        <v>1+5,56583199092041i</v>
      </c>
      <c r="AH123">
        <f t="shared" si="128"/>
        <v>5.6549523208558581</v>
      </c>
      <c r="AI123">
        <f t="shared" si="129"/>
        <v>1.3930253190177559</v>
      </c>
      <c r="AJ123" t="str">
        <f t="shared" si="110"/>
        <v>1+0,0140996997329089i</v>
      </c>
      <c r="AK123">
        <f t="shared" si="130"/>
        <v>1.0000993958265139</v>
      </c>
      <c r="AL123">
        <f t="shared" si="131"/>
        <v>1.4098765497037712E-2</v>
      </c>
      <c r="AM123" t="str">
        <f t="shared" si="111"/>
        <v>1-0,000886314603559325i</v>
      </c>
      <c r="AN123">
        <f t="shared" si="132"/>
        <v>1.0000003927767112</v>
      </c>
      <c r="AO123">
        <f t="shared" si="133"/>
        <v>-8.8631437147689885E-4</v>
      </c>
      <c r="AP123" s="41" t="str">
        <f t="shared" si="134"/>
        <v>5,74959430173992-29,738276205053i</v>
      </c>
      <c r="AQ123">
        <f t="shared" si="135"/>
        <v>29.625695794279132</v>
      </c>
      <c r="AR123" s="43">
        <f t="shared" si="136"/>
        <v>-79.057453848065009</v>
      </c>
      <c r="AS123" t="str">
        <f t="shared" si="112"/>
        <v>-0,0000166666666666667</v>
      </c>
      <c r="AT123" t="str">
        <f t="shared" si="113"/>
        <v>1,07298714967437E-06i</v>
      </c>
      <c r="AU123">
        <f t="shared" si="137"/>
        <v>1.0729871496743699E-6</v>
      </c>
      <c r="AV123">
        <f t="shared" si="138"/>
        <v>1.5707963267948966</v>
      </c>
      <c r="AW123" t="str">
        <f t="shared" si="114"/>
        <v>1+0,00336280617808537i</v>
      </c>
      <c r="AX123">
        <f t="shared" si="139"/>
        <v>1.0000056542167106</v>
      </c>
      <c r="AY123">
        <f t="shared" si="140"/>
        <v>3.3627935021122834E-3</v>
      </c>
      <c r="AZ123" t="str">
        <f t="shared" si="115"/>
        <v>1+0,232645045592997i</v>
      </c>
      <c r="BA123">
        <f t="shared" si="141"/>
        <v>1.0267052728212551</v>
      </c>
      <c r="BB123">
        <f t="shared" si="142"/>
        <v>0.22857908476140196</v>
      </c>
      <c r="BC123" s="41" t="str">
        <f t="shared" si="143"/>
        <v>-3,56139162032439+15,5449364470621i</v>
      </c>
      <c r="BD123">
        <f t="shared" si="144"/>
        <v>24.053951313144225</v>
      </c>
      <c r="BE123" s="43">
        <f t="shared" si="145"/>
        <v>102.90394296674638</v>
      </c>
      <c r="BF123" s="41" t="str">
        <f t="shared" si="146"/>
        <v>139,866996145197+61,1615964738824i</v>
      </c>
      <c r="BG123" s="20">
        <f t="shared" si="147"/>
        <v>43.674214795195525</v>
      </c>
      <c r="BH123" s="43">
        <f t="shared" si="148"/>
        <v>23.618988220670794</v>
      </c>
      <c r="BI123" s="41" t="str">
        <f t="shared" si="152"/>
        <v>441,803056686247+195,286725696505i</v>
      </c>
      <c r="BJ123" s="20">
        <f t="shared" si="149"/>
        <v>53.679647107423357</v>
      </c>
      <c r="BK123" s="43">
        <f t="shared" si="153"/>
        <v>23.846489118681323</v>
      </c>
      <c r="BL123">
        <f t="shared" si="150"/>
        <v>43.674214795195525</v>
      </c>
      <c r="BM123" s="43">
        <f t="shared" si="151"/>
        <v>23.618988220670794</v>
      </c>
    </row>
    <row r="124" spans="14:65" x14ac:dyDescent="0.25">
      <c r="N124" s="9">
        <v>6</v>
      </c>
      <c r="O124" s="34">
        <f t="shared" si="154"/>
        <v>114.81536214968835</v>
      </c>
      <c r="P124" s="33" t="str">
        <f t="shared" si="103"/>
        <v>54,631621870174</v>
      </c>
      <c r="Q124" s="4" t="str">
        <f t="shared" si="104"/>
        <v>1+5,75050934724231i</v>
      </c>
      <c r="R124" s="4">
        <f t="shared" si="117"/>
        <v>5.8368105805072323</v>
      </c>
      <c r="S124" s="4">
        <f t="shared" si="118"/>
        <v>1.3986204642998936</v>
      </c>
      <c r="T124" s="4" t="str">
        <f t="shared" si="105"/>
        <v>1+0,0144281239299485i</v>
      </c>
      <c r="U124" s="4">
        <f t="shared" si="119"/>
        <v>1.0001040799637495</v>
      </c>
      <c r="V124" s="4">
        <f t="shared" si="120"/>
        <v>1.4427122883803359E-2</v>
      </c>
      <c r="W124" t="str">
        <f t="shared" si="106"/>
        <v>1-0,0028707196992852i</v>
      </c>
      <c r="X124" s="4">
        <f t="shared" si="121"/>
        <v>1.0000041205073067</v>
      </c>
      <c r="Y124" s="4">
        <f t="shared" si="122"/>
        <v>-2.8707118134269479E-3</v>
      </c>
      <c r="Z124" t="str">
        <f t="shared" si="107"/>
        <v>0,99999994726973+0,000394413668178499i</v>
      </c>
      <c r="AA124" s="4">
        <f t="shared" si="123"/>
        <v>1.0000000250508019</v>
      </c>
      <c r="AB124" s="4">
        <f t="shared" si="124"/>
        <v>3.9441366852409305E-4</v>
      </c>
      <c r="AC124" s="47" t="str">
        <f t="shared" si="125"/>
        <v>1,70660071826243-9,2039720593533i</v>
      </c>
      <c r="AD124" s="20">
        <f t="shared" si="126"/>
        <v>19.426309436791851</v>
      </c>
      <c r="AE124" s="43">
        <f t="shared" si="127"/>
        <v>-79.495514402949411</v>
      </c>
      <c r="AF124" t="str">
        <f t="shared" si="108"/>
        <v>171,265703090588</v>
      </c>
      <c r="AG124" t="str">
        <f t="shared" si="109"/>
        <v>1+5,69547687252089i</v>
      </c>
      <c r="AH124">
        <f t="shared" si="128"/>
        <v>5.7825994851295333</v>
      </c>
      <c r="AI124">
        <f t="shared" si="129"/>
        <v>1.3969899653537956</v>
      </c>
      <c r="AJ124" t="str">
        <f t="shared" si="110"/>
        <v>1+0,0144281239299485i</v>
      </c>
      <c r="AK124">
        <f t="shared" si="130"/>
        <v>1.0001040799637495</v>
      </c>
      <c r="AL124">
        <f t="shared" si="131"/>
        <v>1.4427122883803359E-2</v>
      </c>
      <c r="AM124" t="str">
        <f t="shared" si="111"/>
        <v>1-0,000906959522778351i</v>
      </c>
      <c r="AN124">
        <f t="shared" si="132"/>
        <v>1.0000004112877035</v>
      </c>
      <c r="AO124">
        <f t="shared" si="133"/>
        <v>-9.0695927409755654E-4</v>
      </c>
      <c r="AP124" s="41" t="str">
        <f t="shared" si="134"/>
        <v>5,5163139822669-29,1023269787673i</v>
      </c>
      <c r="AQ124">
        <f t="shared" si="135"/>
        <v>29.431853324065436</v>
      </c>
      <c r="AR124" s="43">
        <f t="shared" si="136"/>
        <v>-79.266980723737092</v>
      </c>
      <c r="AS124" t="str">
        <f t="shared" si="112"/>
        <v>-0,0000166666666666667</v>
      </c>
      <c r="AT124" t="str">
        <f t="shared" si="113"/>
        <v>1,09798023106908E-06i</v>
      </c>
      <c r="AU124">
        <f t="shared" si="137"/>
        <v>1.0979802310690801E-6</v>
      </c>
      <c r="AV124">
        <f t="shared" si="138"/>
        <v>1.5707963267948966</v>
      </c>
      <c r="AW124" t="str">
        <f t="shared" si="114"/>
        <v>1+0,00344113599643318i</v>
      </c>
      <c r="AX124">
        <f t="shared" si="139"/>
        <v>1.0000059206909457</v>
      </c>
      <c r="AY124">
        <f t="shared" si="140"/>
        <v>3.4411224138876481E-3</v>
      </c>
      <c r="AZ124" t="str">
        <f t="shared" si="115"/>
        <v>1+0,23806404484415i</v>
      </c>
      <c r="BA124">
        <f t="shared" si="141"/>
        <v>1.0279467347326696</v>
      </c>
      <c r="BB124">
        <f t="shared" si="142"/>
        <v>0.23371366086801632</v>
      </c>
      <c r="BC124" s="41" t="str">
        <f t="shared" si="143"/>
        <v>-3,56138972229767+15,191642063271i</v>
      </c>
      <c r="BD124">
        <f t="shared" si="144"/>
        <v>23.864445376981021</v>
      </c>
      <c r="BE124" s="43">
        <f t="shared" si="145"/>
        <v>103.1936445911855</v>
      </c>
      <c r="BF124" s="41" t="str">
        <f t="shared" si="146"/>
        <v>133,745578827957+58,7049987532598i</v>
      </c>
      <c r="BG124" s="20">
        <f t="shared" si="147"/>
        <v>43.290754813772871</v>
      </c>
      <c r="BH124" s="43">
        <f t="shared" si="148"/>
        <v>23.698130188236085</v>
      </c>
      <c r="BI124" s="41" t="str">
        <f t="shared" si="152"/>
        <v>422,466390748296+187,446595724344i</v>
      </c>
      <c r="BJ124" s="20">
        <f t="shared" si="149"/>
        <v>53.296298701046467</v>
      </c>
      <c r="BK124" s="43">
        <f t="shared" si="153"/>
        <v>23.926663867448415</v>
      </c>
      <c r="BL124">
        <f t="shared" si="150"/>
        <v>43.290754813772871</v>
      </c>
      <c r="BM124" s="43">
        <f t="shared" si="151"/>
        <v>23.698130188236085</v>
      </c>
    </row>
    <row r="125" spans="14:65" x14ac:dyDescent="0.25">
      <c r="N125" s="9">
        <v>7</v>
      </c>
      <c r="O125" s="34">
        <f t="shared" si="154"/>
        <v>117.48975549395293</v>
      </c>
      <c r="P125" s="33" t="str">
        <f t="shared" si="103"/>
        <v>54,631621870174</v>
      </c>
      <c r="Q125" s="4" t="str">
        <f t="shared" si="104"/>
        <v>1+5,88445591707803i</v>
      </c>
      <c r="R125" s="4">
        <f t="shared" si="117"/>
        <v>5.9688207746618289</v>
      </c>
      <c r="S125" s="4">
        <f t="shared" si="118"/>
        <v>1.4024652180420938</v>
      </c>
      <c r="T125" s="4" t="str">
        <f t="shared" si="105"/>
        <v>1+0,0147641981092745i</v>
      </c>
      <c r="U125" s="4">
        <f t="shared" si="119"/>
        <v>1.0001089848340579</v>
      </c>
      <c r="V125" s="4">
        <f t="shared" si="120"/>
        <v>1.4763125475317483E-2</v>
      </c>
      <c r="W125" t="str">
        <f t="shared" si="106"/>
        <v>1-0,00293758735108086i</v>
      </c>
      <c r="X125" s="4">
        <f t="shared" si="121"/>
        <v>1.0000043147004143</v>
      </c>
      <c r="Y125" s="4">
        <f t="shared" si="122"/>
        <v>-2.9375789012334739E-3</v>
      </c>
      <c r="Z125" t="str">
        <f t="shared" si="107"/>
        <v>0,999999944784629+0,000403600742706804i</v>
      </c>
      <c r="AA125" s="4">
        <f t="shared" si="123"/>
        <v>1.0000000262314099</v>
      </c>
      <c r="AB125" s="4">
        <f t="shared" si="124"/>
        <v>4.036007430771146E-4</v>
      </c>
      <c r="AC125" s="47" t="str">
        <f t="shared" si="125"/>
        <v>1,63658942977142-9,00638181478091i</v>
      </c>
      <c r="AD125" s="20">
        <f t="shared" si="126"/>
        <v>19.232094932060239</v>
      </c>
      <c r="AE125" s="43">
        <f t="shared" si="127"/>
        <v>-79.700908617762991</v>
      </c>
      <c r="AF125" t="str">
        <f t="shared" si="108"/>
        <v>171,265703090588</v>
      </c>
      <c r="AG125" t="str">
        <f t="shared" si="109"/>
        <v>1+5,82814157134773i</v>
      </c>
      <c r="AH125">
        <f t="shared" si="128"/>
        <v>5.9133099170998626</v>
      </c>
      <c r="AI125">
        <f t="shared" si="129"/>
        <v>1.4008697061429325</v>
      </c>
      <c r="AJ125" t="str">
        <f t="shared" si="110"/>
        <v>1+0,0147641981092745i</v>
      </c>
      <c r="AK125">
        <f t="shared" si="130"/>
        <v>1.0001089848340579</v>
      </c>
      <c r="AL125">
        <f t="shared" si="131"/>
        <v>1.4763125475317483E-2</v>
      </c>
      <c r="AM125" t="str">
        <f t="shared" si="111"/>
        <v>1-0,000928085323941383i</v>
      </c>
      <c r="AN125">
        <f t="shared" si="132"/>
        <v>1.0000004306710915</v>
      </c>
      <c r="AO125">
        <f t="shared" si="133"/>
        <v>-9.2808505747511694E-4</v>
      </c>
      <c r="AP125" s="41" t="str">
        <f t="shared" si="134"/>
        <v>5,29291833107659-28,4782257748752i</v>
      </c>
      <c r="AQ125">
        <f t="shared" si="135"/>
        <v>29.237745535008024</v>
      </c>
      <c r="AR125" s="43">
        <f t="shared" si="136"/>
        <v>-79.47123238438661</v>
      </c>
      <c r="AS125" t="str">
        <f t="shared" si="112"/>
        <v>-0,0000166666666666667</v>
      </c>
      <c r="AT125" t="str">
        <f t="shared" si="113"/>
        <v>1,12355547611579E-06i</v>
      </c>
      <c r="AU125">
        <f t="shared" si="137"/>
        <v>1.12355547611579E-6</v>
      </c>
      <c r="AV125">
        <f t="shared" si="138"/>
        <v>1.5707963267948966</v>
      </c>
      <c r="AW125" t="str">
        <f t="shared" si="114"/>
        <v>1+0,00352129035063512i</v>
      </c>
      <c r="AX125">
        <f t="shared" si="139"/>
        <v>1.0000061997236485</v>
      </c>
      <c r="AY125">
        <f t="shared" si="140"/>
        <v>3.5212757966802417E-3</v>
      </c>
      <c r="AZ125" t="str">
        <f t="shared" si="115"/>
        <v>1+0,24360926880303i</v>
      </c>
      <c r="BA125">
        <f t="shared" si="141"/>
        <v>1.0292450999867557</v>
      </c>
      <c r="BB125">
        <f t="shared" si="142"/>
        <v>0.23895487206239013</v>
      </c>
      <c r="BC125" s="41" t="str">
        <f t="shared" si="143"/>
        <v>-3,56138773482189+14,8464024885712i</v>
      </c>
      <c r="BD125">
        <f t="shared" si="144"/>
        <v>23.675406888372869</v>
      </c>
      <c r="BE125" s="43">
        <f t="shared" si="145"/>
        <v>103.48935142161214</v>
      </c>
      <c r="BF125" s="41" t="str">
        <f t="shared" si="146"/>
        <v>127,883839865859+56,3726831132114i</v>
      </c>
      <c r="BG125" s="20">
        <f t="shared" si="147"/>
        <v>42.907501820433126</v>
      </c>
      <c r="BH125" s="43">
        <f t="shared" si="148"/>
        <v>23.788442803849104</v>
      </c>
      <c r="BI125" s="41" t="str">
        <f t="shared" si="152"/>
        <v>403,94906758849+180,002799866429i</v>
      </c>
      <c r="BJ125" s="20">
        <f t="shared" si="149"/>
        <v>52.913152423380907</v>
      </c>
      <c r="BK125" s="43">
        <f t="shared" si="153"/>
        <v>24.018119037225532</v>
      </c>
      <c r="BL125">
        <f t="shared" si="150"/>
        <v>42.907501820433126</v>
      </c>
      <c r="BM125" s="43">
        <f t="shared" si="151"/>
        <v>23.788442803849104</v>
      </c>
    </row>
    <row r="126" spans="14:65" x14ac:dyDescent="0.25">
      <c r="N126" s="9">
        <v>8</v>
      </c>
      <c r="O126" s="34">
        <f t="shared" si="154"/>
        <v>120.22644346174135</v>
      </c>
      <c r="P126" s="33" t="str">
        <f t="shared" si="103"/>
        <v>54,631621870174</v>
      </c>
      <c r="Q126" s="4" t="str">
        <f t="shared" si="104"/>
        <v>1+6,02152250333097i</v>
      </c>
      <c r="R126" s="4">
        <f t="shared" si="117"/>
        <v>6.1039932223194073</v>
      </c>
      <c r="S126" s="4">
        <f t="shared" si="118"/>
        <v>1.4062273154809957</v>
      </c>
      <c r="T126" s="4" t="str">
        <f t="shared" si="105"/>
        <v>1+0,0151081004618654i</v>
      </c>
      <c r="U126" s="4">
        <f t="shared" si="119"/>
        <v>1.000114120838</v>
      </c>
      <c r="V126" s="4">
        <f t="shared" si="120"/>
        <v>1.5106951120956127E-2</v>
      </c>
      <c r="W126" t="str">
        <f t="shared" si="106"/>
        <v>1-0,00300601255057363i</v>
      </c>
      <c r="X126" s="4">
        <f t="shared" si="121"/>
        <v>1.0000045180455208</v>
      </c>
      <c r="Y126" s="4">
        <f t="shared" si="122"/>
        <v>-3.0060034964012384E-3</v>
      </c>
      <c r="Z126" t="str">
        <f t="shared" si="107"/>
        <v>0,999999942182409+0,000413001811691181i</v>
      </c>
      <c r="AA126" s="4">
        <f t="shared" si="123"/>
        <v>1.0000000274676584</v>
      </c>
      <c r="AB126" s="4">
        <f t="shared" si="124"/>
        <v>4.1300181208797588E-4</v>
      </c>
      <c r="AC126" s="47" t="str">
        <f t="shared" si="125"/>
        <v>1,56955603888527-8,8125243745931i</v>
      </c>
      <c r="AD126" s="20">
        <f t="shared" si="126"/>
        <v>19.037631210115798</v>
      </c>
      <c r="AE126" s="43">
        <f t="shared" si="127"/>
        <v>-79.901220246840836</v>
      </c>
      <c r="AF126" t="str">
        <f t="shared" si="108"/>
        <v>171,265703090588</v>
      </c>
      <c r="AG126" t="str">
        <f t="shared" si="109"/>
        <v>1+5,96389642798029i</v>
      </c>
      <c r="AH126">
        <f t="shared" si="128"/>
        <v>6.0471530990769589</v>
      </c>
      <c r="AI126">
        <f t="shared" si="129"/>
        <v>1.4046661310469475</v>
      </c>
      <c r="AJ126" t="str">
        <f t="shared" si="110"/>
        <v>1+0,0151081004618654i</v>
      </c>
      <c r="AK126">
        <f t="shared" si="130"/>
        <v>1.000114120838</v>
      </c>
      <c r="AL126">
        <f t="shared" si="131"/>
        <v>1.5106951120956127E-2</v>
      </c>
      <c r="AM126" t="str">
        <f t="shared" si="111"/>
        <v>1-0,000949703208227833i</v>
      </c>
      <c r="AN126">
        <f t="shared" si="132"/>
        <v>1.0000004509679903</v>
      </c>
      <c r="AO126">
        <f t="shared" si="133"/>
        <v>-9.497029227040917E-4</v>
      </c>
      <c r="AP126" s="41" t="str">
        <f t="shared" si="134"/>
        <v>5,07901427839912-27,8658672523253i</v>
      </c>
      <c r="AQ126">
        <f t="shared" si="135"/>
        <v>29.043383856940675</v>
      </c>
      <c r="AR126" s="43">
        <f t="shared" si="136"/>
        <v>-79.670290362681271</v>
      </c>
      <c r="AS126" t="str">
        <f t="shared" si="112"/>
        <v>-0,0000166666666666667</v>
      </c>
      <c r="AT126" t="str">
        <f t="shared" si="113"/>
        <v>1,14972644514796E-06i</v>
      </c>
      <c r="AU126">
        <f t="shared" si="137"/>
        <v>1.14972644514796E-6</v>
      </c>
      <c r="AV126">
        <f t="shared" si="138"/>
        <v>1.5707963267948966</v>
      </c>
      <c r="AW126" t="str">
        <f t="shared" si="114"/>
        <v>1+0,00360331173959077i</v>
      </c>
      <c r="AX126">
        <f t="shared" si="139"/>
        <v>1.000006491906674</v>
      </c>
      <c r="AY126">
        <f t="shared" si="140"/>
        <v>3.6032961447526176E-3</v>
      </c>
      <c r="AZ126" t="str">
        <f t="shared" si="115"/>
        <v>1+0,249283657620779i</v>
      </c>
      <c r="BA126">
        <f t="shared" si="141"/>
        <v>1.0306029021678493</v>
      </c>
      <c r="BB126">
        <f t="shared" si="142"/>
        <v>0.24430434497974637</v>
      </c>
      <c r="BC126" s="41" t="str">
        <f t="shared" si="143"/>
        <v>-3,56138565368159+14,5090346723262i</v>
      </c>
      <c r="BD126">
        <f t="shared" si="144"/>
        <v>23.486855410589005</v>
      </c>
      <c r="BE126" s="43">
        <f t="shared" si="145"/>
        <v>103.79115422261745</v>
      </c>
      <c r="BF126" s="41" t="str">
        <f t="shared" si="146"/>
        <v>122,271427342156+54,1575408687405i</v>
      </c>
      <c r="BG126" s="20">
        <f t="shared" si="147"/>
        <v>42.52448662070482</v>
      </c>
      <c r="BH126" s="43">
        <f t="shared" si="148"/>
        <v>23.889933975776568</v>
      </c>
      <c r="BI126" s="41" t="str">
        <f t="shared" si="152"/>
        <v>386,218505552492+172,93269412636i</v>
      </c>
      <c r="BJ126" s="20">
        <f t="shared" si="149"/>
        <v>52.530239267529673</v>
      </c>
      <c r="BK126" s="43">
        <f t="shared" si="153"/>
        <v>24.120863859936271</v>
      </c>
      <c r="BL126">
        <f t="shared" si="150"/>
        <v>42.52448662070482</v>
      </c>
      <c r="BM126" s="43">
        <f t="shared" si="151"/>
        <v>23.889933975776568</v>
      </c>
    </row>
    <row r="127" spans="14:65" x14ac:dyDescent="0.25">
      <c r="N127" s="9">
        <v>9</v>
      </c>
      <c r="O127" s="34">
        <f t="shared" si="154"/>
        <v>123.02687708123821</v>
      </c>
      <c r="P127" s="33" t="str">
        <f t="shared" si="103"/>
        <v>54,631621870174</v>
      </c>
      <c r="Q127" s="4" t="str">
        <f t="shared" si="104"/>
        <v>1+6,16178178051945i</v>
      </c>
      <c r="R127" s="4">
        <f t="shared" si="117"/>
        <v>6.2423997557623174</v>
      </c>
      <c r="S127" s="4">
        <f t="shared" si="118"/>
        <v>1.4099083251448363</v>
      </c>
      <c r="T127" s="4" t="str">
        <f t="shared" si="105"/>
        <v>1+0,0154600133293005i</v>
      </c>
      <c r="U127" s="4">
        <f t="shared" si="119"/>
        <v>1.0001194988660815</v>
      </c>
      <c r="V127" s="4">
        <f t="shared" si="120"/>
        <v>1.5458781796275195E-2</v>
      </c>
      <c r="W127" t="str">
        <f t="shared" si="106"/>
        <v>1-0,00307603157770999i</v>
      </c>
      <c r="X127" s="4">
        <f t="shared" si="121"/>
        <v>1.0000047309739424</v>
      </c>
      <c r="Y127" s="4">
        <f t="shared" si="122"/>
        <v>-3.0760218759919586E-3</v>
      </c>
      <c r="Z127" t="str">
        <f t="shared" si="107"/>
        <v>0,99999993945755+0,000422621859702841i</v>
      </c>
      <c r="AA127" s="4">
        <f t="shared" si="123"/>
        <v>1.0000000287621695</v>
      </c>
      <c r="AB127" s="4">
        <f t="shared" si="124"/>
        <v>4.2262186012801431E-4</v>
      </c>
      <c r="AC127" s="47" t="str">
        <f t="shared" si="125"/>
        <v>1,50538115123652-8,62236283629635i</v>
      </c>
      <c r="AD127" s="20">
        <f t="shared" si="126"/>
        <v>18.842929071934957</v>
      </c>
      <c r="AE127" s="43">
        <f t="shared" si="127"/>
        <v>-80.096531097917037</v>
      </c>
      <c r="AF127" t="str">
        <f t="shared" si="108"/>
        <v>171,265703090588</v>
      </c>
      <c r="AG127" t="str">
        <f t="shared" si="109"/>
        <v>1+6,10281342144045i</v>
      </c>
      <c r="AH127">
        <f t="shared" si="128"/>
        <v>6.1842001630698933</v>
      </c>
      <c r="AI127">
        <f t="shared" si="129"/>
        <v>1.4083808150224861</v>
      </c>
      <c r="AJ127" t="str">
        <f t="shared" si="110"/>
        <v>1+0,0154600133293005i</v>
      </c>
      <c r="AK127">
        <f t="shared" si="130"/>
        <v>1.0001194988660815</v>
      </c>
      <c r="AL127">
        <f t="shared" si="131"/>
        <v>1.5458781796275195E-2</v>
      </c>
      <c r="AM127" t="str">
        <f t="shared" si="111"/>
        <v>1-0,00097182463772609i</v>
      </c>
      <c r="AN127">
        <f t="shared" si="132"/>
        <v>1.0000004722214517</v>
      </c>
      <c r="AO127">
        <f t="shared" si="133"/>
        <v>-9.7182433178189692E-4</v>
      </c>
      <c r="AP127" s="41" t="str">
        <f t="shared" si="134"/>
        <v>4,87422216909083-27,2651386498385i</v>
      </c>
      <c r="AQ127">
        <f t="shared" si="135"/>
        <v>28.848779271732298</v>
      </c>
      <c r="AR127" s="43">
        <f t="shared" si="136"/>
        <v>-79.864235127282527</v>
      </c>
      <c r="AS127" t="str">
        <f t="shared" si="112"/>
        <v>-0,0000166666666666667</v>
      </c>
      <c r="AT127" t="str">
        <f t="shared" si="113"/>
        <v>1,17650701435977E-06i</v>
      </c>
      <c r="AU127">
        <f t="shared" si="137"/>
        <v>1.17650701435977E-6</v>
      </c>
      <c r="AV127">
        <f t="shared" si="138"/>
        <v>1.5707963267948966</v>
      </c>
      <c r="AW127" t="str">
        <f t="shared" si="114"/>
        <v>1+0,0036872436521262i</v>
      </c>
      <c r="AX127">
        <f t="shared" si="139"/>
        <v>1.0000067978597695</v>
      </c>
      <c r="AY127">
        <f t="shared" si="140"/>
        <v>3.6872269419621928E-3</v>
      </c>
      <c r="AZ127" t="str">
        <f t="shared" si="115"/>
        <v>1+0,255090219933458i</v>
      </c>
      <c r="BA127">
        <f t="shared" si="141"/>
        <v>1.0320227809044236</v>
      </c>
      <c r="BB127">
        <f t="shared" si="142"/>
        <v>0.24976369077226068</v>
      </c>
      <c r="BC127" s="41" t="str">
        <f t="shared" si="143"/>
        <v>-3,56138347446281+14,1793597376074i</v>
      </c>
      <c r="BD127">
        <f t="shared" si="144"/>
        <v>23.298811211765063</v>
      </c>
      <c r="BE127" s="43">
        <f t="shared" si="145"/>
        <v>104.09914281497973</v>
      </c>
      <c r="BF127" s="41" t="str">
        <f t="shared" si="146"/>
        <v>116,898344889241+52,0528814016043i</v>
      </c>
      <c r="BG127" s="20">
        <f t="shared" si="147"/>
        <v>42.141740283700003</v>
      </c>
      <c r="BH127" s="43">
        <f t="shared" si="148"/>
        <v>24.002611717062752</v>
      </c>
      <c r="BI127" s="41" t="str">
        <f t="shared" si="152"/>
        <v>369,243234927943+166,214963793032i</v>
      </c>
      <c r="BJ127" s="20">
        <f t="shared" si="149"/>
        <v>52.147590483497353</v>
      </c>
      <c r="BK127" s="43">
        <f t="shared" si="153"/>
        <v>24.234907687697216</v>
      </c>
      <c r="BL127">
        <f t="shared" si="150"/>
        <v>42.141740283700003</v>
      </c>
      <c r="BM127" s="43">
        <f t="shared" si="151"/>
        <v>24.002611717062752</v>
      </c>
    </row>
    <row r="128" spans="14:65" x14ac:dyDescent="0.25">
      <c r="N128" s="9">
        <v>10</v>
      </c>
      <c r="O128" s="34">
        <f t="shared" si="154"/>
        <v>125.89254117941677</v>
      </c>
      <c r="P128" s="33" t="str">
        <f t="shared" si="103"/>
        <v>54,631621870174</v>
      </c>
      <c r="Q128" s="4" t="str">
        <f t="shared" si="104"/>
        <v>1+6,30530811596877i</v>
      </c>
      <c r="R128" s="4">
        <f t="shared" si="117"/>
        <v>6.3841139116796501</v>
      </c>
      <c r="S128" s="4">
        <f t="shared" si="118"/>
        <v>1.4135097995349792</v>
      </c>
      <c r="T128" s="4" t="str">
        <f t="shared" si="105"/>
        <v>1+0,0158201233004402i</v>
      </c>
      <c r="U128" s="4">
        <f t="shared" si="119"/>
        <v>1.0001251303218219</v>
      </c>
      <c r="V128" s="4">
        <f t="shared" si="120"/>
        <v>1.5818803697945399E-2</v>
      </c>
      <c r="W128" t="str">
        <f t="shared" si="106"/>
        <v>1-0,00314768155750494i</v>
      </c>
      <c r="X128" s="4">
        <f t="shared" si="121"/>
        <v>1.000004953937323</v>
      </c>
      <c r="Y128" s="4">
        <f t="shared" si="122"/>
        <v>-3.1476711619295569E-3</v>
      </c>
      <c r="Z128" t="str">
        <f t="shared" si="107"/>
        <v>0,999999936604272+0,000432465987418576i</v>
      </c>
      <c r="AA128" s="4">
        <f t="shared" si="123"/>
        <v>1.0000000301176886</v>
      </c>
      <c r="AB128" s="4">
        <f t="shared" si="124"/>
        <v>4.3246598787415746E-4</v>
      </c>
      <c r="AC128" s="47" t="str">
        <f t="shared" si="125"/>
        <v>1,44394953339795-8,43585824548944i</v>
      </c>
      <c r="AD128" s="20">
        <f t="shared" si="126"/>
        <v>18.647998892840061</v>
      </c>
      <c r="AE128" s="43">
        <f t="shared" si="127"/>
        <v>-80.286921873660901</v>
      </c>
      <c r="AF128" t="str">
        <f t="shared" si="108"/>
        <v>171,265703090588</v>
      </c>
      <c r="AG128" t="str">
        <f t="shared" si="109"/>
        <v>1+6,24496620735694i</v>
      </c>
      <c r="AH128">
        <f t="shared" si="128"/>
        <v>6.3245239292005309</v>
      </c>
      <c r="AI128">
        <f t="shared" si="129"/>
        <v>1.4120153173691548</v>
      </c>
      <c r="AJ128" t="str">
        <f t="shared" si="110"/>
        <v>1+0,0158201233004402i</v>
      </c>
      <c r="AK128">
        <f t="shared" si="130"/>
        <v>1.0001251303218219</v>
      </c>
      <c r="AL128">
        <f t="shared" si="131"/>
        <v>1.5818803697945399E-2</v>
      </c>
      <c r="AM128" t="str">
        <f t="shared" si="111"/>
        <v>1-0,00099446134151089i</v>
      </c>
      <c r="AN128">
        <f t="shared" si="132"/>
        <v>1.0000004944765577</v>
      </c>
      <c r="AO128">
        <f t="shared" si="133"/>
        <v>-9.9446101368578957E-4</v>
      </c>
      <c r="AP128" s="41" t="str">
        <f t="shared" si="134"/>
        <v>4,67817550039289-26,6759204928593i</v>
      </c>
      <c r="AQ128">
        <f t="shared" si="135"/>
        <v>28.653942329037822</v>
      </c>
      <c r="AR128" s="43">
        <f t="shared" si="136"/>
        <v>-80.053146023214325</v>
      </c>
      <c r="AS128" t="str">
        <f t="shared" si="112"/>
        <v>-0,0000166666666666667</v>
      </c>
      <c r="AT128" t="str">
        <f t="shared" si="113"/>
        <v>0,0000012039113831635i</v>
      </c>
      <c r="AU128">
        <f t="shared" si="137"/>
        <v>1.2039113831634999E-6</v>
      </c>
      <c r="AV128">
        <f t="shared" si="138"/>
        <v>1.5707963267948966</v>
      </c>
      <c r="AW128" t="str">
        <f t="shared" si="114"/>
        <v>1+0,00377313059005243i</v>
      </c>
      <c r="AX128">
        <f t="shared" si="139"/>
        <v>1.0000071182318901</v>
      </c>
      <c r="AY128">
        <f t="shared" si="140"/>
        <v>3.7731126847959863E-3</v>
      </c>
      <c r="AZ128" t="str">
        <f t="shared" si="115"/>
        <v>1+0,261032034457264i</v>
      </c>
      <c r="BA128">
        <f t="shared" si="141"/>
        <v>1.0335074857072388</v>
      </c>
      <c r="BB128">
        <f t="shared" si="142"/>
        <v>0.25533450180096395</v>
      </c>
      <c r="BC128" s="41" t="str">
        <f t="shared" si="143"/>
        <v>-3,56138119254349+13,8572028863499i</v>
      </c>
      <c r="BD128">
        <f t="shared" si="144"/>
        <v>23.111295280015064</v>
      </c>
      <c r="BE128" s="43">
        <f t="shared" si="145"/>
        <v>104.4134058848047</v>
      </c>
      <c r="BF128" s="41" t="str">
        <f t="shared" si="146"/>
        <v>111,754944517009+50,0524085403947i</v>
      </c>
      <c r="BG128" s="20">
        <f t="shared" si="147"/>
        <v>41.759294172855093</v>
      </c>
      <c r="BH128" s="43">
        <f t="shared" si="148"/>
        <v>24.126484011143909</v>
      </c>
      <c r="BI128" s="41" t="str">
        <f t="shared" si="152"/>
        <v>352,992876207173+159,82954858395i</v>
      </c>
      <c r="BJ128" s="20">
        <f t="shared" si="149"/>
        <v>51.765237609052875</v>
      </c>
      <c r="BK128" s="43">
        <f t="shared" si="153"/>
        <v>24.360259861590357</v>
      </c>
      <c r="BL128">
        <f t="shared" si="150"/>
        <v>41.759294172855093</v>
      </c>
      <c r="BM128" s="43">
        <f t="shared" si="151"/>
        <v>24.126484011143909</v>
      </c>
    </row>
    <row r="129" spans="14:65" x14ac:dyDescent="0.25">
      <c r="N129" s="9">
        <v>11</v>
      </c>
      <c r="O129" s="34">
        <f t="shared" si="154"/>
        <v>128.82495516931343</v>
      </c>
      <c r="P129" s="33" t="str">
        <f t="shared" si="103"/>
        <v>54,631621870174</v>
      </c>
      <c r="Q129" s="4" t="str">
        <f t="shared" si="104"/>
        <v>1+6,45217760924181i</v>
      </c>
      <c r="R129" s="4">
        <f t="shared" si="117"/>
        <v>6.5292109707989496</v>
      </c>
      <c r="S129" s="4">
        <f t="shared" si="118"/>
        <v>1.4170332743035972</v>
      </c>
      <c r="T129" s="4" t="str">
        <f t="shared" si="105"/>
        <v>1+0,016188621310358i</v>
      </c>
      <c r="U129" s="4">
        <f t="shared" si="119"/>
        <v>1.0001310271459085</v>
      </c>
      <c r="V129" s="4">
        <f t="shared" si="120"/>
        <v>1.6187207340814292E-2</v>
      </c>
      <c r="W129" t="str">
        <f t="shared" si="106"/>
        <v>1-0,00322100047972618i</v>
      </c>
      <c r="X129" s="4">
        <f t="shared" si="121"/>
        <v>1.0000051874085907</v>
      </c>
      <c r="Y129" s="4">
        <f t="shared" si="122"/>
        <v>-3.2209893406695889E-3</v>
      </c>
      <c r="Z129" t="str">
        <f t="shared" si="107"/>
        <v>0,999999933616524+0,000442539414325206i</v>
      </c>
      <c r="AA129" s="4">
        <f t="shared" si="123"/>
        <v>1.0000000315370923</v>
      </c>
      <c r="AB129" s="4">
        <f t="shared" si="124"/>
        <v>4.4253941481337011E-4</v>
      </c>
      <c r="AC129" s="47" t="str">
        <f t="shared" si="125"/>
        <v>1,3851500230757-8,25296980334558i</v>
      </c>
      <c r="AD129" s="20">
        <f t="shared" si="126"/>
        <v>18.452850637815761</v>
      </c>
      <c r="AE129" s="43">
        <f t="shared" si="127"/>
        <v>-80.472472120282148</v>
      </c>
      <c r="AF129" t="str">
        <f t="shared" si="108"/>
        <v>171,265703090588</v>
      </c>
      <c r="AG129" t="str">
        <f t="shared" si="109"/>
        <v>1+6,39043015701847i</v>
      </c>
      <c r="AH129">
        <f t="shared" si="128"/>
        <v>6.4681989449715518</v>
      </c>
      <c r="AI129">
        <f t="shared" si="129"/>
        <v>1.4155711808701494</v>
      </c>
      <c r="AJ129" t="str">
        <f t="shared" si="110"/>
        <v>1+0,016188621310358i</v>
      </c>
      <c r="AK129">
        <f t="shared" si="130"/>
        <v>1.0001310271459085</v>
      </c>
      <c r="AL129">
        <f t="shared" si="131"/>
        <v>1.6187207340814292E-2</v>
      </c>
      <c r="AM129" t="str">
        <f t="shared" si="111"/>
        <v>1-0,00101762532186221i</v>
      </c>
      <c r="AN129">
        <f t="shared" si="132"/>
        <v>1.0000005177805138</v>
      </c>
      <c r="AO129">
        <f t="shared" si="133"/>
        <v>-1.0176249705912959E-3</v>
      </c>
      <c r="AP129" s="41" t="str">
        <f t="shared" si="134"/>
        <v>4,49052064565367-26,098087260145i</v>
      </c>
      <c r="AQ129">
        <f t="shared" si="135"/>
        <v>28.458883161743852</v>
      </c>
      <c r="AR129" s="43">
        <f t="shared" si="136"/>
        <v>-80.237101217419806</v>
      </c>
      <c r="AS129" t="str">
        <f t="shared" si="112"/>
        <v>-0,0000166666666666667</v>
      </c>
      <c r="AT129" t="str">
        <f t="shared" si="113"/>
        <v>1,23195408171824E-06i</v>
      </c>
      <c r="AU129">
        <f t="shared" si="137"/>
        <v>1.2319540817182401E-6</v>
      </c>
      <c r="AV129">
        <f t="shared" si="138"/>
        <v>1.5707963267948966</v>
      </c>
      <c r="AW129" t="str">
        <f t="shared" si="114"/>
        <v>1+0,0038610180917608i</v>
      </c>
      <c r="AX129">
        <f t="shared" si="139"/>
        <v>1.0000074537025736</v>
      </c>
      <c r="AY129">
        <f t="shared" si="140"/>
        <v>3.8609989059405787E-3</v>
      </c>
      <c r="AZ129" t="str">
        <f t="shared" si="115"/>
        <v>1+0,267112251620907i</v>
      </c>
      <c r="BA129">
        <f t="shared" si="141"/>
        <v>1.0350598798939077</v>
      </c>
      <c r="BB129">
        <f t="shared" si="142"/>
        <v>0.26101834813027708</v>
      </c>
      <c r="BC129" s="41" t="str">
        <f t="shared" si="143"/>
        <v>-3,56137880308374+13,5423933066727i</v>
      </c>
      <c r="BD129">
        <f t="shared" si="144"/>
        <v>22.924329337883776</v>
      </c>
      <c r="BE129" s="43">
        <f t="shared" si="145"/>
        <v>104.73403078132634</v>
      </c>
      <c r="BF129" s="41" t="str">
        <f t="shared" si="146"/>
        <v>106,831919093726+48,150198121363i</v>
      </c>
      <c r="BG129" s="20">
        <f t="shared" si="147"/>
        <v>41.377179975699512</v>
      </c>
      <c r="BH129" s="43">
        <f t="shared" si="148"/>
        <v>24.261558661044255</v>
      </c>
      <c r="BI129" s="41" t="str">
        <f t="shared" si="152"/>
        <v>337,438117186507+153,757571504486i</v>
      </c>
      <c r="BJ129" s="20">
        <f t="shared" si="149"/>
        <v>51.383212499627632</v>
      </c>
      <c r="BK129" s="43">
        <f t="shared" si="153"/>
        <v>24.496929563906534</v>
      </c>
      <c r="BL129">
        <f t="shared" si="150"/>
        <v>41.377179975699512</v>
      </c>
      <c r="BM129" s="43">
        <f t="shared" si="151"/>
        <v>24.261558661044255</v>
      </c>
    </row>
    <row r="130" spans="14:65" x14ac:dyDescent="0.25">
      <c r="N130" s="9">
        <v>12</v>
      </c>
      <c r="O130" s="34">
        <f t="shared" si="154"/>
        <v>131.82567385564084</v>
      </c>
      <c r="P130" s="33" t="str">
        <f t="shared" si="103"/>
        <v>54,631621870174</v>
      </c>
      <c r="Q130" s="4" t="str">
        <f t="shared" si="104"/>
        <v>1+6,60246813248794i</v>
      </c>
      <c r="R130" s="4">
        <f t="shared" si="117"/>
        <v>6.6777679984047653</v>
      </c>
      <c r="S130" s="4">
        <f t="shared" si="118"/>
        <v>1.4204802675163719</v>
      </c>
      <c r="T130" s="4" t="str">
        <f t="shared" si="105"/>
        <v>1+0,0165657027415762i</v>
      </c>
      <c r="U130" s="4">
        <f t="shared" si="119"/>
        <v>1.0001372018414885</v>
      </c>
      <c r="V130" s="4">
        <f t="shared" si="120"/>
        <v>1.6564187657138376E-2</v>
      </c>
      <c r="W130" t="str">
        <f t="shared" si="106"/>
        <v>1-0,00329602721903675i</v>
      </c>
      <c r="X130" s="4">
        <f t="shared" si="121"/>
        <v>1.0000054318829616</v>
      </c>
      <c r="Y130" s="4">
        <f t="shared" si="122"/>
        <v>-3.296015283326072E-3</v>
      </c>
      <c r="Z130" t="str">
        <f t="shared" si="107"/>
        <v>0,999999930487967+0,000452847481487013i</v>
      </c>
      <c r="AA130" s="4">
        <f t="shared" si="123"/>
        <v>1.0000000330233896</v>
      </c>
      <c r="AB130" s="4">
        <f t="shared" si="124"/>
        <v>4.528474820100903E-4</v>
      </c>
      <c r="AC130" s="47" t="str">
        <f t="shared" si="125"/>
        <v>1,32887543589171-8,07365506186323i</v>
      </c>
      <c r="AD130" s="20">
        <f t="shared" si="126"/>
        <v>18.257493876499986</v>
      </c>
      <c r="AE130" s="43">
        <f t="shared" si="127"/>
        <v>-80.653260180913009</v>
      </c>
      <c r="AF130" t="str">
        <f t="shared" si="108"/>
        <v>171,265703090588</v>
      </c>
      <c r="AG130" t="str">
        <f t="shared" si="109"/>
        <v>1+6,53928239733661i</v>
      </c>
      <c r="AH130">
        <f t="shared" si="128"/>
        <v>6.6153015254118568</v>
      </c>
      <c r="AI130">
        <f t="shared" si="129"/>
        <v>1.419049931020079</v>
      </c>
      <c r="AJ130" t="str">
        <f t="shared" si="110"/>
        <v>1+0,0165657027415762i</v>
      </c>
      <c r="AK130">
        <f t="shared" si="130"/>
        <v>1.0001372018414885</v>
      </c>
      <c r="AL130">
        <f t="shared" si="131"/>
        <v>1.6564187657138376E-2</v>
      </c>
      <c r="AM130" t="str">
        <f t="shared" si="111"/>
        <v>1-0,00104132886062905i</v>
      </c>
      <c r="AN130">
        <f t="shared" si="132"/>
        <v>1.0000005421827511</v>
      </c>
      <c r="AO130">
        <f t="shared" si="133"/>
        <v>-1.0413284842354952E-3</v>
      </c>
      <c r="AP130" s="41" t="str">
        <f t="shared" si="134"/>
        <v>4,31091656642036-25,5315080114179i</v>
      </c>
      <c r="AQ130">
        <f t="shared" si="135"/>
        <v>28.263611501093354</v>
      </c>
      <c r="AR130" s="43">
        <f t="shared" si="136"/>
        <v>-80.416177649197877</v>
      </c>
      <c r="AS130" t="str">
        <f t="shared" si="112"/>
        <v>-0,0000166666666666667</v>
      </c>
      <c r="AT130" t="str">
        <f t="shared" si="113"/>
        <v>1,26064997863395E-06i</v>
      </c>
      <c r="AU130">
        <f t="shared" si="137"/>
        <v>1.26064997863395E-6</v>
      </c>
      <c r="AV130">
        <f t="shared" si="138"/>
        <v>1.5707963267948966</v>
      </c>
      <c r="AW130" t="str">
        <f t="shared" si="114"/>
        <v>1+0,00395095275636805i</v>
      </c>
      <c r="AX130">
        <f t="shared" si="139"/>
        <v>1.0000078049833827</v>
      </c>
      <c r="AY130">
        <f t="shared" si="140"/>
        <v>3.9509321983999621E-3</v>
      </c>
      <c r="AZ130" t="str">
        <f t="shared" si="115"/>
        <v>1+0,273334095236008i</v>
      </c>
      <c r="BA130">
        <f t="shared" si="141"/>
        <v>1.0366829445970871</v>
      </c>
      <c r="BB130">
        <f t="shared" si="142"/>
        <v>0.26681677382061264</v>
      </c>
      <c r="BC130" s="41" t="str">
        <f t="shared" si="143"/>
        <v>-3,56137630101564+13,2347640823117i</v>
      </c>
      <c r="BD130">
        <f t="shared" si="144"/>
        <v>22.737935856021334</v>
      </c>
      <c r="BE130" s="43">
        <f t="shared" si="145"/>
        <v>105.06110330310707</v>
      </c>
      <c r="BF130" s="41" t="str">
        <f t="shared" si="146"/>
        <v>102,120294541335+46,3406766887006i</v>
      </c>
      <c r="BG130" s="20">
        <f t="shared" si="147"/>
        <v>40.995429732521316</v>
      </c>
      <c r="BH130" s="43">
        <f t="shared" si="148"/>
        <v>24.40784312219408</v>
      </c>
      <c r="BI130" s="41" t="str">
        <f t="shared" si="152"/>
        <v>322,550689101462+147,981271296157i</v>
      </c>
      <c r="BJ130" s="20">
        <f t="shared" si="149"/>
        <v>51.001547357114688</v>
      </c>
      <c r="BK130" s="43">
        <f t="shared" si="153"/>
        <v>24.644925653909151</v>
      </c>
      <c r="BL130">
        <f t="shared" si="150"/>
        <v>40.995429732521316</v>
      </c>
      <c r="BM130" s="43">
        <f t="shared" si="151"/>
        <v>24.40784312219408</v>
      </c>
    </row>
    <row r="131" spans="14:65" x14ac:dyDescent="0.25">
      <c r="N131" s="9">
        <v>13</v>
      </c>
      <c r="O131" s="34">
        <f t="shared" si="154"/>
        <v>134.89628825916537</v>
      </c>
      <c r="P131" s="33" t="str">
        <f t="shared" si="103"/>
        <v>54,631621870174</v>
      </c>
      <c r="Q131" s="4" t="str">
        <f t="shared" si="104"/>
        <v>1+6,7562593717319i</v>
      </c>
      <c r="R131" s="4">
        <f t="shared" si="117"/>
        <v>6.8298638857677929</v>
      </c>
      <c r="S131" s="4">
        <f t="shared" si="118"/>
        <v>1.4238522789951475</v>
      </c>
      <c r="T131" s="4" t="str">
        <f t="shared" si="105"/>
        <v>1+0,016951567527661i</v>
      </c>
      <c r="U131" s="4">
        <f t="shared" si="119"/>
        <v>1.0001436675006472</v>
      </c>
      <c r="V131" s="4">
        <f t="shared" si="120"/>
        <v>1.6949944098031539E-2</v>
      </c>
      <c r="W131" t="str">
        <f t="shared" si="106"/>
        <v>1-0,00337280155560692i</v>
      </c>
      <c r="X131" s="4">
        <f t="shared" si="121"/>
        <v>1.0000056878789907</v>
      </c>
      <c r="Y131" s="4">
        <f t="shared" si="122"/>
        <v>-3.3727887662664355E-3</v>
      </c>
      <c r="Z131" t="str">
        <f t="shared" si="107"/>
        <v>0,999999927211966+0,000463395654377649i</v>
      </c>
      <c r="AA131" s="4">
        <f t="shared" si="123"/>
        <v>1.0000000345797344</v>
      </c>
      <c r="AB131" s="4">
        <f t="shared" si="124"/>
        <v>4.6339565493813624E-4</v>
      </c>
      <c r="AC131" s="47" t="str">
        <f t="shared" si="125"/>
        <v>1,27502246943077-7,89787010735484i</v>
      </c>
      <c r="AD131" s="20">
        <f t="shared" si="126"/>
        <v>18.061937797838265</v>
      </c>
      <c r="AE131" s="43">
        <f t="shared" si="127"/>
        <v>-80.829363153474702</v>
      </c>
      <c r="AF131" t="str">
        <f t="shared" si="108"/>
        <v>171,265703090588</v>
      </c>
      <c r="AG131" t="str">
        <f t="shared" si="109"/>
        <v>1+6,69160185173943i</v>
      </c>
      <c r="AH131">
        <f t="shared" si="128"/>
        <v>6.7659097941224848</v>
      </c>
      <c r="AI131">
        <f t="shared" si="129"/>
        <v>1.4224530753348306</v>
      </c>
      <c r="AJ131" t="str">
        <f t="shared" si="110"/>
        <v>1+0,016951567527661i</v>
      </c>
      <c r="AK131">
        <f t="shared" si="130"/>
        <v>1.0001436675006472</v>
      </c>
      <c r="AL131">
        <f t="shared" si="131"/>
        <v>1.6949944098031539E-2</v>
      </c>
      <c r="AM131" t="str">
        <f t="shared" si="111"/>
        <v>1-0,00106558452574141i</v>
      </c>
      <c r="AN131">
        <f t="shared" si="132"/>
        <v>1.0000005677350297</v>
      </c>
      <c r="AO131">
        <f t="shared" si="133"/>
        <v>-1.0655841224284622E-3</v>
      </c>
      <c r="AP131" s="41" t="str">
        <f t="shared" si="134"/>
        <v>4,1390345150995-24,9760469775443i</v>
      </c>
      <c r="AQ131">
        <f t="shared" si="135"/>
        <v>28.068136691478209</v>
      </c>
      <c r="AR131" s="43">
        <f t="shared" si="136"/>
        <v>-80.590450985221736</v>
      </c>
      <c r="AS131" t="str">
        <f t="shared" si="112"/>
        <v>-0,0000166666666666667</v>
      </c>
      <c r="AT131" t="str">
        <f t="shared" si="113"/>
        <v>0,000001290014288855i</v>
      </c>
      <c r="AU131">
        <f t="shared" si="137"/>
        <v>1.290014288855E-6</v>
      </c>
      <c r="AV131">
        <f t="shared" si="138"/>
        <v>1.5707963267948966</v>
      </c>
      <c r="AW131" t="str">
        <f t="shared" si="114"/>
        <v>1+0,00404298226842375i</v>
      </c>
      <c r="AX131">
        <f t="shared" si="139"/>
        <v>1.0000081728194139</v>
      </c>
      <c r="AY131">
        <f t="shared" si="140"/>
        <v>4.0429602401737905E-3</v>
      </c>
      <c r="AZ131" t="str">
        <f t="shared" si="115"/>
        <v>1+0,279700864206407i</v>
      </c>
      <c r="BA131">
        <f t="shared" si="141"/>
        <v>1.0383797828529844</v>
      </c>
      <c r="BB131">
        <f t="shared" si="142"/>
        <v>0.27273129301508736</v>
      </c>
      <c r="BC131" s="41" t="str">
        <f t="shared" si="143"/>
        <v>-3,56137368103249+12,9341521041179i</v>
      </c>
      <c r="BD131">
        <f t="shared" si="144"/>
        <v>22.552138065955319</v>
      </c>
      <c r="BE131" s="43">
        <f t="shared" si="145"/>
        <v>105.39470747240915</v>
      </c>
      <c r="BF131" s="41" t="str">
        <f t="shared" si="146"/>
        <v>97,6114218017377+44,6186012923324i</v>
      </c>
      <c r="BG131" s="20">
        <f t="shared" si="147"/>
        <v>40.614075863793595</v>
      </c>
      <c r="BH131" s="43">
        <f t="shared" si="148"/>
        <v>24.565344318934475</v>
      </c>
      <c r="BI131" s="41" t="str">
        <f t="shared" si="152"/>
        <v>308,303341980192+142,483938344548i</v>
      </c>
      <c r="BJ131" s="20">
        <f t="shared" si="149"/>
        <v>50.620274757433528</v>
      </c>
      <c r="BK131" s="43">
        <f t="shared" si="153"/>
        <v>24.804256487187384</v>
      </c>
      <c r="BL131">
        <f t="shared" si="150"/>
        <v>40.614075863793595</v>
      </c>
      <c r="BM131" s="43">
        <f t="shared" si="151"/>
        <v>24.565344318934475</v>
      </c>
    </row>
    <row r="132" spans="14:65" x14ac:dyDescent="0.25">
      <c r="N132" s="9">
        <v>14</v>
      </c>
      <c r="O132" s="34">
        <f t="shared" si="154"/>
        <v>138.0384264602886</v>
      </c>
      <c r="P132" s="33" t="str">
        <f t="shared" si="103"/>
        <v>54,631621870174</v>
      </c>
      <c r="Q132" s="4" t="str">
        <f t="shared" si="104"/>
        <v>1+6,91363286912443i</v>
      </c>
      <c r="R132" s="4">
        <f t="shared" si="117"/>
        <v>6.9855793925083765</v>
      </c>
      <c r="S132" s="4">
        <f t="shared" si="118"/>
        <v>1.4271507897356694</v>
      </c>
      <c r="T132" s="4" t="str">
        <f t="shared" si="105"/>
        <v>1+0,0173464202592295i</v>
      </c>
      <c r="U132" s="4">
        <f t="shared" si="119"/>
        <v>1.0001504378321342</v>
      </c>
      <c r="V132" s="4">
        <f t="shared" si="120"/>
        <v>1.7344680737172102E-2</v>
      </c>
      <c r="W132" t="str">
        <f t="shared" si="106"/>
        <v>1-0,00345136419620619i</v>
      </c>
      <c r="X132" s="4">
        <f t="shared" si="121"/>
        <v>1.0000059559396708</v>
      </c>
      <c r="Y132" s="4">
        <f t="shared" si="122"/>
        <v>-3.4513504921853677E-3</v>
      </c>
      <c r="Z132" t="str">
        <f t="shared" si="107"/>
        <v>0,999999923781571+0,000474189525778002i</v>
      </c>
      <c r="AA132" s="4">
        <f t="shared" si="123"/>
        <v>1.0000000362094266</v>
      </c>
      <c r="AB132" s="4">
        <f t="shared" si="124"/>
        <v>4.7418952637857519E-4</v>
      </c>
      <c r="AC132" s="47" t="str">
        <f t="shared" si="125"/>
        <v>1,22349160516679-7,72556973264791i</v>
      </c>
      <c r="AD132" s="20">
        <f t="shared" si="126"/>
        <v>17.866191224393301</v>
      </c>
      <c r="AE132" s="43">
        <f t="shared" si="127"/>
        <v>-81.000856852747788</v>
      </c>
      <c r="AF132" t="str">
        <f t="shared" si="108"/>
        <v>171,265703090588</v>
      </c>
      <c r="AG132" t="str">
        <f t="shared" si="109"/>
        <v>1+6,84746928201789i</v>
      </c>
      <c r="AH132">
        <f t="shared" si="128"/>
        <v>6.9201037252470856</v>
      </c>
      <c r="AI132">
        <f t="shared" si="129"/>
        <v>1.4257821027385316</v>
      </c>
      <c r="AJ132" t="str">
        <f t="shared" si="110"/>
        <v>1+0,0173464202592295i</v>
      </c>
      <c r="AK132">
        <f t="shared" si="130"/>
        <v>1.0001504378321342</v>
      </c>
      <c r="AL132">
        <f t="shared" si="131"/>
        <v>1.7344680737172102E-2</v>
      </c>
      <c r="AM132" t="str">
        <f t="shared" si="111"/>
        <v>1-0,00109040517787399i</v>
      </c>
      <c r="AN132">
        <f t="shared" si="132"/>
        <v>1.0000005944915493</v>
      </c>
      <c r="AO132">
        <f t="shared" si="133"/>
        <v>-1.0904047457163943E-3</v>
      </c>
      <c r="AP132" s="41" t="str">
        <f t="shared" si="134"/>
        <v>3,97455773018961-24,4315641147205i</v>
      </c>
      <c r="AQ132">
        <f t="shared" si="135"/>
        <v>27.872467704889733</v>
      </c>
      <c r="AR132" s="43">
        <f t="shared" si="136"/>
        <v>-80.759995578854543</v>
      </c>
      <c r="AS132" t="str">
        <f t="shared" si="112"/>
        <v>-0,0000166666666666667</v>
      </c>
      <c r="AT132" t="str">
        <f t="shared" si="113"/>
        <v>1,32006258172737E-06i</v>
      </c>
      <c r="AU132">
        <f t="shared" si="137"/>
        <v>1.32006258172737E-6</v>
      </c>
      <c r="AV132">
        <f t="shared" si="138"/>
        <v>1.5707963267948966</v>
      </c>
      <c r="AW132" t="str">
        <f t="shared" si="114"/>
        <v>1+0,00413715542319337i</v>
      </c>
      <c r="AX132">
        <f t="shared" si="139"/>
        <v>1.0000085579908782</v>
      </c>
      <c r="AY132">
        <f t="shared" si="140"/>
        <v>4.1371318195091876E-3</v>
      </c>
      <c r="AZ132" t="str">
        <f t="shared" si="115"/>
        <v>1+0,286215934277287i</v>
      </c>
      <c r="BA132">
        <f t="shared" si="141"/>
        <v>1.0401536237663263</v>
      </c>
      <c r="BB132">
        <f t="shared" si="142"/>
        <v>0.27876338581708582</v>
      </c>
      <c r="BC132" s="41" t="str">
        <f t="shared" si="143"/>
        <v>-3,56137093757744+12,6403979835747i</v>
      </c>
      <c r="BD132">
        <f t="shared" si="144"/>
        <v>22.366959971827374</v>
      </c>
      <c r="BE132" s="43">
        <f t="shared" si="145"/>
        <v>105.73492529754893</v>
      </c>
      <c r="BF132" s="41" t="str">
        <f t="shared" si="146"/>
        <v>93,2969686255174+42,979040340951i</v>
      </c>
      <c r="BG132" s="20">
        <f t="shared" si="147"/>
        <v>40.233151196220675</v>
      </c>
      <c r="BH132" s="43">
        <f t="shared" si="148"/>
        <v>24.734068444801121</v>
      </c>
      <c r="BI132" s="41" t="str">
        <f t="shared" si="152"/>
        <v>294,669819381268+137,249853916015i</v>
      </c>
      <c r="BJ132" s="20">
        <f t="shared" si="149"/>
        <v>50.239427676717099</v>
      </c>
      <c r="BK132" s="43">
        <f t="shared" si="153"/>
        <v>24.974929718694312</v>
      </c>
      <c r="BL132">
        <f t="shared" si="150"/>
        <v>40.233151196220675</v>
      </c>
      <c r="BM132" s="43">
        <f t="shared" si="151"/>
        <v>24.734068444801121</v>
      </c>
    </row>
    <row r="133" spans="14:65" x14ac:dyDescent="0.25">
      <c r="N133" s="9">
        <v>15</v>
      </c>
      <c r="O133" s="34">
        <f t="shared" si="154"/>
        <v>141.25375446227542</v>
      </c>
      <c r="P133" s="33" t="str">
        <f t="shared" si="103"/>
        <v>54,631621870174</v>
      </c>
      <c r="Q133" s="4" t="str">
        <f t="shared" si="104"/>
        <v>1+7,07467206617691i</v>
      </c>
      <c r="R133" s="4">
        <f t="shared" si="117"/>
        <v>7.1449971899185432</v>
      </c>
      <c r="S133" s="4">
        <f t="shared" si="118"/>
        <v>1.4303772613957388</v>
      </c>
      <c r="T133" s="4" t="str">
        <f t="shared" si="105"/>
        <v>1+0,0177504702924264i</v>
      </c>
      <c r="U133" s="4">
        <f t="shared" si="119"/>
        <v>1.0001575271903933</v>
      </c>
      <c r="V133" s="4">
        <f t="shared" si="120"/>
        <v>1.7748606376815232E-2</v>
      </c>
      <c r="W133" t="str">
        <f t="shared" si="106"/>
        <v>1-0,00353175679578649i</v>
      </c>
      <c r="X133" s="4">
        <f t="shared" si="121"/>
        <v>1.0000062366335845</v>
      </c>
      <c r="Y133" s="4">
        <f t="shared" si="122"/>
        <v>-3.5317421116685659E-3</v>
      </c>
      <c r="Z133" t="str">
        <f t="shared" si="107"/>
        <v>0,999999920189507+0,000485234818741564i</v>
      </c>
      <c r="AA133" s="4">
        <f t="shared" si="123"/>
        <v>1.0000000379159242</v>
      </c>
      <c r="AB133" s="4">
        <f t="shared" si="124"/>
        <v>4.852348193850898E-4</v>
      </c>
      <c r="AC133" s="47" t="str">
        <f t="shared" si="125"/>
        <v>1,17418700882571-7,55670759847398i</v>
      </c>
      <c r="AD133" s="20">
        <f t="shared" si="126"/>
        <v>17.670262626303458</v>
      </c>
      <c r="AE133" s="43">
        <f t="shared" si="127"/>
        <v>-81.167815776377068</v>
      </c>
      <c r="AF133" t="str">
        <f t="shared" si="108"/>
        <v>171,265703090588</v>
      </c>
      <c r="AG133" t="str">
        <f t="shared" si="109"/>
        <v>1+7,00696733114663i</v>
      </c>
      <c r="AH133">
        <f t="shared" si="128"/>
        <v>7.0779651863905153</v>
      </c>
      <c r="AI133">
        <f t="shared" si="129"/>
        <v>1.4290384830228497</v>
      </c>
      <c r="AJ133" t="str">
        <f t="shared" si="110"/>
        <v>1+0,0177504702924264i</v>
      </c>
      <c r="AK133">
        <f t="shared" si="130"/>
        <v>1.0001575271903933</v>
      </c>
      <c r="AL133">
        <f t="shared" si="131"/>
        <v>1.7748606376815232E-2</v>
      </c>
      <c r="AM133" t="str">
        <f t="shared" si="111"/>
        <v>1-0,00111580397726511i</v>
      </c>
      <c r="AN133">
        <f t="shared" si="132"/>
        <v>1.0000006225090641</v>
      </c>
      <c r="AO133">
        <f t="shared" si="133"/>
        <v>-1.1158035141999188E-3</v>
      </c>
      <c r="AP133" s="41" t="str">
        <f t="shared" si="134"/>
        <v>3,817181125907-23,8979156241565i</v>
      </c>
      <c r="AQ133">
        <f t="shared" si="135"/>
        <v>27.676613155020604</v>
      </c>
      <c r="AR133" s="43">
        <f t="shared" si="136"/>
        <v>-80.924884433485886</v>
      </c>
      <c r="AS133" t="str">
        <f t="shared" si="112"/>
        <v>-0,0000166666666666667</v>
      </c>
      <c r="AT133" t="str">
        <f t="shared" si="113"/>
        <v>1,35081078925365E-06i</v>
      </c>
      <c r="AU133">
        <f t="shared" si="137"/>
        <v>1.3508107892536501E-6</v>
      </c>
      <c r="AV133">
        <f t="shared" si="138"/>
        <v>1.5707963267948966</v>
      </c>
      <c r="AW133" t="str">
        <f t="shared" si="114"/>
        <v>1+0,00423352215253009i</v>
      </c>
      <c r="AX133">
        <f t="shared" si="139"/>
        <v>1.0000089613147554</v>
      </c>
      <c r="AY133">
        <f t="shared" si="140"/>
        <v>4.2334968607390553E-3</v>
      </c>
      <c r="AZ133" t="str">
        <f t="shared" si="115"/>
        <v>1+0,292882759825036i</v>
      </c>
      <c r="BA133">
        <f t="shared" si="141"/>
        <v>1.0420078267473474</v>
      </c>
      <c r="BB133">
        <f t="shared" si="142"/>
        <v>0.28491449395622487</v>
      </c>
      <c r="BC133" s="41" t="str">
        <f t="shared" si="143"/>
        <v>-3,56136806483191+12,353345968288i</v>
      </c>
      <c r="BD133">
        <f t="shared" si="144"/>
        <v>22.182426360952334</v>
      </c>
      <c r="BE133" s="43">
        <f t="shared" si="145"/>
        <v>106.08183652309501</v>
      </c>
      <c r="BF133" s="41" t="str">
        <f t="shared" si="146"/>
        <v>89,1689112297674+41,4173554679711i</v>
      </c>
      <c r="BG133" s="20">
        <f t="shared" si="147"/>
        <v>39.852688987255782</v>
      </c>
      <c r="BH133" s="43">
        <f t="shared" si="148"/>
        <v>24.914020746717942</v>
      </c>
      <c r="BI133" s="41" t="str">
        <f t="shared" si="152"/>
        <v>281,624832666676+132,264232591867i</v>
      </c>
      <c r="BJ133" s="20">
        <f t="shared" si="149"/>
        <v>49.859039515972931</v>
      </c>
      <c r="BK133" s="43">
        <f t="shared" si="153"/>
        <v>25.156952089609177</v>
      </c>
      <c r="BL133">
        <f t="shared" si="150"/>
        <v>39.852688987255782</v>
      </c>
      <c r="BM133" s="43">
        <f t="shared" si="151"/>
        <v>24.914020746717942</v>
      </c>
    </row>
    <row r="134" spans="14:65" x14ac:dyDescent="0.25">
      <c r="N134" s="9">
        <v>16</v>
      </c>
      <c r="O134" s="34">
        <f t="shared" si="154"/>
        <v>144.54397707459285</v>
      </c>
      <c r="P134" s="33" t="str">
        <f t="shared" si="103"/>
        <v>54,631621870174</v>
      </c>
      <c r="Q134" s="4" t="str">
        <f t="shared" si="104"/>
        <v>1+7,23946234800324i</v>
      </c>
      <c r="R134" s="4">
        <f t="shared" si="117"/>
        <v>7.3082019052675733</v>
      </c>
      <c r="S134" s="4">
        <f t="shared" si="118"/>
        <v>1.4335331358493244</v>
      </c>
      <c r="T134" s="4" t="str">
        <f t="shared" si="105"/>
        <v>1+0,0181639318599277i</v>
      </c>
      <c r="U134" s="4">
        <f t="shared" si="119"/>
        <v>1.0001649506059549</v>
      </c>
      <c r="V134" s="4">
        <f t="shared" si="120"/>
        <v>1.8161934656156481E-2</v>
      </c>
      <c r="W134" t="str">
        <f t="shared" si="106"/>
        <v>1-0,00361402197956825i</v>
      </c>
      <c r="X134" s="4">
        <f t="shared" si="121"/>
        <v>1.0000065305561103</v>
      </c>
      <c r="Y134" s="4">
        <f t="shared" si="122"/>
        <v>-3.6140062452579636E-3</v>
      </c>
      <c r="Z134" t="str">
        <f t="shared" si="107"/>
        <v>0,999999916428155+0,000496537389628864i</v>
      </c>
      <c r="AA134" s="4">
        <f t="shared" si="123"/>
        <v>1.0000000397028475</v>
      </c>
      <c r="AB134" s="4">
        <f t="shared" si="124"/>
        <v>4.96537390318414E-4</v>
      </c>
      <c r="AC134" s="47" t="str">
        <f t="shared" si="125"/>
        <v>1,12701642968906-7,39123638451932i</v>
      </c>
      <c r="AD134" s="20">
        <f t="shared" si="126"/>
        <v>17.474160134886059</v>
      </c>
      <c r="AE134" s="43">
        <f t="shared" si="127"/>
        <v>-81.330313074553089</v>
      </c>
      <c r="AF134" t="str">
        <f t="shared" si="108"/>
        <v>171,265703090588</v>
      </c>
      <c r="AG134" t="str">
        <f t="shared" si="109"/>
        <v>1+7,17018056710253i</v>
      </c>
      <c r="AH134">
        <f t="shared" si="128"/>
        <v>7.239577982510772</v>
      </c>
      <c r="AI134">
        <f t="shared" si="129"/>
        <v>1.4322236663740919</v>
      </c>
      <c r="AJ134" t="str">
        <f t="shared" si="110"/>
        <v>1+0,0181639318599277i</v>
      </c>
      <c r="AK134">
        <f t="shared" si="130"/>
        <v>1.0001649506059549</v>
      </c>
      <c r="AL134">
        <f t="shared" si="131"/>
        <v>1.8161934656156481E-2</v>
      </c>
      <c r="AM134" t="str">
        <f t="shared" si="111"/>
        <v>1-0,00114179439069438i</v>
      </c>
      <c r="AN134">
        <f t="shared" si="132"/>
        <v>1.0000006518470028</v>
      </c>
      <c r="AO134">
        <f t="shared" si="133"/>
        <v>-1.1417938945111055E-3</v>
      </c>
      <c r="AP134" s="41" t="str">
        <f t="shared" si="134"/>
        <v>3,66661097785171-23,3749544387443i</v>
      </c>
      <c r="AQ134">
        <f t="shared" si="135"/>
        <v>27.480581311012536</v>
      </c>
      <c r="AR134" s="43">
        <f t="shared" si="136"/>
        <v>-81.085189169627512</v>
      </c>
      <c r="AS134" t="str">
        <f t="shared" si="112"/>
        <v>-0,0000166666666666667</v>
      </c>
      <c r="AT134" t="str">
        <f t="shared" si="113"/>
        <v>0,0000013822752145405i</v>
      </c>
      <c r="AU134">
        <f t="shared" si="137"/>
        <v>1.3822752145404999E-6</v>
      </c>
      <c r="AV134">
        <f t="shared" si="138"/>
        <v>1.5707963267948966</v>
      </c>
      <c r="AW134" t="str">
        <f t="shared" si="114"/>
        <v>1+0,00433213355134938i</v>
      </c>
      <c r="AX134">
        <f t="shared" si="139"/>
        <v>1.0000093836465269</v>
      </c>
      <c r="AY134">
        <f t="shared" si="140"/>
        <v>4.3321064507207564E-3</v>
      </c>
      <c r="AZ134" t="str">
        <f t="shared" si="115"/>
        <v>1+0,299704875688807i</v>
      </c>
      <c r="BA134">
        <f t="shared" si="141"/>
        <v>1.043945885815756</v>
      </c>
      <c r="BB134">
        <f t="shared" si="142"/>
        <v>0.29118601624121365</v>
      </c>
      <c r="BC134" s="41" t="str">
        <f t="shared" si="143"/>
        <v>-3,56136505670301+12,0728438594027i</v>
      </c>
      <c r="BD134">
        <f t="shared" si="144"/>
        <v>21.998562813048459</v>
      </c>
      <c r="BE134" s="43">
        <f t="shared" si="145"/>
        <v>106.43551836782173</v>
      </c>
      <c r="BF134" s="41" t="str">
        <f t="shared" si="146"/>
        <v>85,2195258672131+39,9291843682765i</v>
      </c>
      <c r="BG134" s="20">
        <f t="shared" si="147"/>
        <v>39.472722947934514</v>
      </c>
      <c r="BH134" s="43">
        <f t="shared" si="148"/>
        <v>25.105205293268629</v>
      </c>
      <c r="BI134" s="41" t="str">
        <f t="shared" si="152"/>
        <v>269,144034946567+127,513167768944i</v>
      </c>
      <c r="BJ134" s="20">
        <f t="shared" si="149"/>
        <v>49.47914412406098</v>
      </c>
      <c r="BK134" s="43">
        <f t="shared" si="153"/>
        <v>25.350329198194178</v>
      </c>
      <c r="BL134">
        <f t="shared" si="150"/>
        <v>39.472722947934514</v>
      </c>
      <c r="BM134" s="43">
        <f t="shared" si="151"/>
        <v>25.105205293268629</v>
      </c>
    </row>
    <row r="135" spans="14:65" x14ac:dyDescent="0.25">
      <c r="N135" s="9">
        <v>17</v>
      </c>
      <c r="O135" s="34">
        <f t="shared" si="154"/>
        <v>147.91083881682084</v>
      </c>
      <c r="P135" s="33" t="str">
        <f t="shared" si="103"/>
        <v>54,631621870174</v>
      </c>
      <c r="Q135" s="4" t="str">
        <f t="shared" si="104"/>
        <v>1+7,40809108859209i</v>
      </c>
      <c r="R135" s="4">
        <f t="shared" si="117"/>
        <v>7.4752801671159821</v>
      </c>
      <c r="S135" s="4">
        <f t="shared" si="118"/>
        <v>1.4366198348023556</v>
      </c>
      <c r="T135" s="4" t="str">
        <f t="shared" si="105"/>
        <v>1+0,0185870241845291i</v>
      </c>
      <c r="U135" s="4">
        <f t="shared" si="119"/>
        <v>1.0001727238172595</v>
      </c>
      <c r="V135" s="4">
        <f t="shared" si="120"/>
        <v>1.8584884162091444E-2</v>
      </c>
      <c r="W135" t="str">
        <f t="shared" si="106"/>
        <v>1-0,00369820336564081i</v>
      </c>
      <c r="X135" s="4">
        <f t="shared" si="121"/>
        <v>1.0000068383306855</v>
      </c>
      <c r="Y135" s="4">
        <f t="shared" si="122"/>
        <v>-3.6981865060298096E-3</v>
      </c>
      <c r="Z135" t="str">
        <f t="shared" si="107"/>
        <v>0,999999912489535+0,000508103231212595i</v>
      </c>
      <c r="AA135" s="4">
        <f t="shared" si="123"/>
        <v>1.0000000415739847</v>
      </c>
      <c r="AB135" s="4">
        <f t="shared" si="124"/>
        <v>5.0810323195146117E-4</v>
      </c>
      <c r="AC135" s="47" t="str">
        <f t="shared" si="125"/>
        <v>1,08189109929204-7,22910793060674i</v>
      </c>
      <c r="AD135" s="20">
        <f t="shared" si="126"/>
        <v>17.277891555882849</v>
      </c>
      <c r="AE135" s="43">
        <f t="shared" si="127"/>
        <v>-81.488420523124645</v>
      </c>
      <c r="AF135" t="str">
        <f t="shared" si="108"/>
        <v>171,265703090588</v>
      </c>
      <c r="AG135" t="str">
        <f t="shared" si="109"/>
        <v>1+7,33719552770366i</v>
      </c>
      <c r="AH135">
        <f t="shared" si="128"/>
        <v>7.4050279008086521</v>
      </c>
      <c r="AI135">
        <f t="shared" si="129"/>
        <v>1.4353390829637422</v>
      </c>
      <c r="AJ135" t="str">
        <f t="shared" si="110"/>
        <v>1+0,0185870241845291i</v>
      </c>
      <c r="AK135">
        <f t="shared" si="130"/>
        <v>1.0001727238172595</v>
      </c>
      <c r="AL135">
        <f t="shared" si="131"/>
        <v>1.8584884162091444E-2</v>
      </c>
      <c r="AM135" t="str">
        <f t="shared" si="111"/>
        <v>1-0,00116839019862303i</v>
      </c>
      <c r="AN135">
        <f t="shared" si="132"/>
        <v>1.0000006825675951</v>
      </c>
      <c r="AO135">
        <f t="shared" si="133"/>
        <v>-1.1683896669530919E-3</v>
      </c>
      <c r="AP135" s="41" t="str">
        <f t="shared" si="134"/>
        <v>3,52256460620076-22,8625306781896i</v>
      </c>
      <c r="AQ135">
        <f t="shared" si="135"/>
        <v>27.28438011084706</v>
      </c>
      <c r="AR135" s="43">
        <f t="shared" si="136"/>
        <v>-81.240979995516099</v>
      </c>
      <c r="AS135" t="str">
        <f t="shared" si="112"/>
        <v>-0,0000166666666666667</v>
      </c>
      <c r="AT135" t="str">
        <f t="shared" si="113"/>
        <v>1,41447254044267E-06i</v>
      </c>
      <c r="AU135">
        <f t="shared" si="137"/>
        <v>1.4144725404426701E-6</v>
      </c>
      <c r="AV135">
        <f t="shared" si="138"/>
        <v>1.5707963267948966</v>
      </c>
      <c r="AW135" t="str">
        <f t="shared" si="114"/>
        <v>1+0,00443304190472015i</v>
      </c>
      <c r="AX135">
        <f t="shared" si="139"/>
        <v>1.0000098258819905</v>
      </c>
      <c r="AY135">
        <f t="shared" si="140"/>
        <v>4.433012865888806E-3</v>
      </c>
      <c r="AZ135" t="str">
        <f t="shared" si="115"/>
        <v>1+0,306685899044731i</v>
      </c>
      <c r="BA135">
        <f t="shared" si="141"/>
        <v>1.0459714339659927</v>
      </c>
      <c r="BB135">
        <f t="shared" si="142"/>
        <v>0.29757930379913189</v>
      </c>
      <c r="BC135" s="41" t="str">
        <f t="shared" si="143"/>
        <v>-3,56136190681079+11,7987429309061i</v>
      </c>
      <c r="BD135">
        <f t="shared" si="144"/>
        <v>21.815395707983072</v>
      </c>
      <c r="BE135" s="43">
        <f t="shared" si="145"/>
        <v>106.79604525038893</v>
      </c>
      <c r="BF135" s="41" t="str">
        <f t="shared" si="146"/>
        <v>81,4413803446672+38,5104245640688i</v>
      </c>
      <c r="BG135" s="20">
        <f t="shared" si="147"/>
        <v>39.093287263865918</v>
      </c>
      <c r="BH135" s="43">
        <f t="shared" si="148"/>
        <v>25.307624727264283</v>
      </c>
      <c r="BI135" s="41" t="str">
        <f t="shared" si="152"/>
        <v>257,20399481911+122,983580096669i</v>
      </c>
      <c r="BJ135" s="20">
        <f t="shared" si="149"/>
        <v>49.099775818830132</v>
      </c>
      <c r="BK135" s="43">
        <f t="shared" si="153"/>
        <v>25.55506525487289</v>
      </c>
      <c r="BL135">
        <f t="shared" si="150"/>
        <v>39.093287263865918</v>
      </c>
      <c r="BM135" s="43">
        <f t="shared" si="151"/>
        <v>25.307624727264283</v>
      </c>
    </row>
    <row r="136" spans="14:65" x14ac:dyDescent="0.25">
      <c r="N136" s="9">
        <v>18</v>
      </c>
      <c r="O136" s="34">
        <f t="shared" si="154"/>
        <v>151.3561248436209</v>
      </c>
      <c r="P136" s="33" t="str">
        <f t="shared" si="103"/>
        <v>54,631621870174</v>
      </c>
      <c r="Q136" s="4" t="str">
        <f t="shared" si="104"/>
        <v>1+7,58064769713379i</v>
      </c>
      <c r="R136" s="4">
        <f t="shared" si="117"/>
        <v>7.6463206516637676</v>
      </c>
      <c r="S136" s="4">
        <f t="shared" si="118"/>
        <v>1.4396387594661375</v>
      </c>
      <c r="T136" s="4" t="str">
        <f t="shared" si="105"/>
        <v>1+0,0190199715953816i</v>
      </c>
      <c r="U136" s="4">
        <f t="shared" si="119"/>
        <v>1.0001808633039773</v>
      </c>
      <c r="V136" s="4">
        <f t="shared" si="120"/>
        <v>1.9017678542420643E-2</v>
      </c>
      <c r="W136" t="str">
        <f t="shared" si="106"/>
        <v>1-0,00378434558808934i</v>
      </c>
      <c r="X136" s="4">
        <f t="shared" si="121"/>
        <v>1.0000071606101277</v>
      </c>
      <c r="Y136" s="4">
        <f t="shared" si="122"/>
        <v>-3.7843275226976613E-3</v>
      </c>
      <c r="Z136" t="str">
        <f t="shared" si="107"/>
        <v>0,999999908365294+0,000519938475855056i</v>
      </c>
      <c r="AA136" s="4">
        <f t="shared" si="123"/>
        <v>1.0000000435333065</v>
      </c>
      <c r="AB136" s="4">
        <f t="shared" si="124"/>
        <v>5.1993847664676541E-4</v>
      </c>
      <c r="AC136" s="47" t="str">
        <f t="shared" si="125"/>
        <v>1,03872562992375-7,0702733684715i</v>
      </c>
      <c r="AD136" s="20">
        <f t="shared" si="126"/>
        <v>17.081464382346809</v>
      </c>
      <c r="AE136" s="43">
        <f t="shared" si="127"/>
        <v>-81.642208499906033</v>
      </c>
      <c r="AF136" t="str">
        <f t="shared" si="108"/>
        <v>171,265703090588</v>
      </c>
      <c r="AG136" t="str">
        <f t="shared" si="109"/>
        <v>1+7,50810076649284i</v>
      </c>
      <c r="AH136">
        <f t="shared" si="128"/>
        <v>7.5744027566409731</v>
      </c>
      <c r="AI136">
        <f t="shared" si="129"/>
        <v>1.4383861425982967</v>
      </c>
      <c r="AJ136" t="str">
        <f t="shared" si="110"/>
        <v>1+0,0190199715953816i</v>
      </c>
      <c r="AK136">
        <f t="shared" si="130"/>
        <v>1.0001808633039773</v>
      </c>
      <c r="AL136">
        <f t="shared" si="131"/>
        <v>1.9017678542420643E-2</v>
      </c>
      <c r="AM136" t="str">
        <f t="shared" si="111"/>
        <v>1-0,00119560550250047i</v>
      </c>
      <c r="AN136">
        <f t="shared" si="132"/>
        <v>1.0000007147360035</v>
      </c>
      <c r="AO136">
        <f t="shared" si="133"/>
        <v>-1.1956049328058895E-3</v>
      </c>
      <c r="AP136" s="41" t="str">
        <f t="shared" si="134"/>
        <v>3,38477005776502-22,3604920740663i</v>
      </c>
      <c r="AQ136">
        <f t="shared" si="135"/>
        <v>27.088017174377544</v>
      </c>
      <c r="AR136" s="43">
        <f t="shared" si="136"/>
        <v>-81.392325680982609</v>
      </c>
      <c r="AS136" t="str">
        <f t="shared" si="112"/>
        <v>-0,0000166666666666667</v>
      </c>
      <c r="AT136" t="str">
        <f t="shared" si="113"/>
        <v>1,44741983840854E-06i</v>
      </c>
      <c r="AU136">
        <f t="shared" si="137"/>
        <v>1.4474198384085399E-6</v>
      </c>
      <c r="AV136">
        <f t="shared" si="138"/>
        <v>1.5707963267948966</v>
      </c>
      <c r="AW136" t="str">
        <f t="shared" si="114"/>
        <v>1+0,00453630071558706i</v>
      </c>
      <c r="AX136">
        <f t="shared" si="139"/>
        <v>1.0000102889591598</v>
      </c>
      <c r="AY136">
        <f t="shared" si="140"/>
        <v>4.5362695999359636E-3</v>
      </c>
      <c r="AZ136" t="str">
        <f t="shared" si="115"/>
        <v>1+0,313829531323796i</v>
      </c>
      <c r="BA136">
        <f t="shared" si="141"/>
        <v>1.0480882475874411</v>
      </c>
      <c r="BB136">
        <f t="shared" si="142"/>
        <v>0.30409565510186914</v>
      </c>
      <c r="BC136" s="41" t="str">
        <f t="shared" si="143"/>
        <v>-3,56135860847471+11,5308978507698i</v>
      </c>
      <c r="BD136">
        <f t="shared" si="144"/>
        <v>21.632952231863371</v>
      </c>
      <c r="BE136" s="43">
        <f t="shared" si="145"/>
        <v>107.16348850279313</v>
      </c>
      <c r="BF136" s="41" t="str">
        <f t="shared" si="146"/>
        <v>77,8273255248907+37,1572180587027i</v>
      </c>
      <c r="BG136" s="20">
        <f t="shared" si="147"/>
        <v>38.71441661421018</v>
      </c>
      <c r="BH136" s="43">
        <f t="shared" si="148"/>
        <v>25.521280002887092</v>
      </c>
      <c r="BI136" s="41" t="str">
        <f t="shared" si="152"/>
        <v>245,782170016077+118,663168722139i</v>
      </c>
      <c r="BJ136" s="20">
        <f t="shared" si="149"/>
        <v>48.720969406240897</v>
      </c>
      <c r="BK136" s="43">
        <f t="shared" si="153"/>
        <v>25.771162821810524</v>
      </c>
      <c r="BL136">
        <f t="shared" si="150"/>
        <v>38.71441661421018</v>
      </c>
      <c r="BM136" s="43">
        <f t="shared" si="151"/>
        <v>25.521280002887092</v>
      </c>
    </row>
    <row r="137" spans="14:65" x14ac:dyDescent="0.25">
      <c r="N137" s="9">
        <v>19</v>
      </c>
      <c r="O137" s="34">
        <f t="shared" si="154"/>
        <v>154.8816618912482</v>
      </c>
      <c r="P137" s="33" t="str">
        <f t="shared" si="103"/>
        <v>54,631621870174</v>
      </c>
      <c r="Q137" s="4" t="str">
        <f t="shared" si="104"/>
        <v>1+7,75722366542624i</v>
      </c>
      <c r="R137" s="4">
        <f t="shared" si="117"/>
        <v>7.8214141301588747</v>
      </c>
      <c r="S137" s="4">
        <f t="shared" si="118"/>
        <v>1.4425912902845028</v>
      </c>
      <c r="T137" s="4" t="str">
        <f t="shared" si="105"/>
        <v>1+0,0194630036469329i</v>
      </c>
      <c r="U137" s="4">
        <f t="shared" si="119"/>
        <v>1.0001893863218909</v>
      </c>
      <c r="V137" s="4">
        <f t="shared" si="120"/>
        <v>1.9460546621543902E-2</v>
      </c>
      <c r="W137" t="str">
        <f t="shared" si="106"/>
        <v>1-0,00387249432066041i</v>
      </c>
      <c r="X137" s="4">
        <f t="shared" si="121"/>
        <v>1.0000074980780211</v>
      </c>
      <c r="Y137" s="4">
        <f t="shared" si="122"/>
        <v>-3.8724749632523081E-3</v>
      </c>
      <c r="Z137" t="str">
        <f t="shared" si="107"/>
        <v>0,999999904046683+0,000532049398759615i</v>
      </c>
      <c r="AA137" s="4">
        <f t="shared" si="123"/>
        <v>1.0000000455849678</v>
      </c>
      <c r="AB137" s="4">
        <f t="shared" si="124"/>
        <v>5.3204939960794682E-4</v>
      </c>
      <c r="AC137" s="47" t="str">
        <f t="shared" si="125"/>
        <v>0,997437913293591-6,91468324458612i</v>
      </c>
      <c r="AD137" s="20">
        <f t="shared" si="126"/>
        <v>16.884885807171074</v>
      </c>
      <c r="AE137" s="43">
        <f t="shared" si="127"/>
        <v>-81.791745963956217</v>
      </c>
      <c r="AF137" t="str">
        <f t="shared" si="108"/>
        <v>171,265703090588</v>
      </c>
      <c r="AG137" t="str">
        <f t="shared" si="109"/>
        <v>1+7,68298689968988i</v>
      </c>
      <c r="AH137">
        <f t="shared" si="128"/>
        <v>7.7477924404830505</v>
      </c>
      <c r="AI137">
        <f t="shared" si="129"/>
        <v>1.4413662344244311</v>
      </c>
      <c r="AJ137" t="str">
        <f t="shared" si="110"/>
        <v>1+0,0194630036469329i</v>
      </c>
      <c r="AK137">
        <f t="shared" si="130"/>
        <v>1.0001893863218909</v>
      </c>
      <c r="AL137">
        <f t="shared" si="131"/>
        <v>1.9460546621543902E-2</v>
      </c>
      <c r="AM137" t="str">
        <f t="shared" si="111"/>
        <v>1-0,00122345473224104i</v>
      </c>
      <c r="AN137">
        <f t="shared" si="132"/>
        <v>1.0000007484204609</v>
      </c>
      <c r="AO137">
        <f t="shared" si="133"/>
        <v>-1.2234541218023236E-3</v>
      </c>
      <c r="AP137" s="41" t="str">
        <f t="shared" si="134"/>
        <v>3,25296578810632-21,8686843662304i</v>
      </c>
      <c r="AQ137">
        <f t="shared" si="135"/>
        <v>26.891499816002661</v>
      </c>
      <c r="AR137" s="43">
        <f t="shared" si="136"/>
        <v>-81.539293534359075</v>
      </c>
      <c r="AS137" t="str">
        <f t="shared" si="112"/>
        <v>-0,0000166666666666667</v>
      </c>
      <c r="AT137" t="str">
        <f t="shared" si="113"/>
        <v>0,0000014811345775316i</v>
      </c>
      <c r="AU137">
        <f t="shared" si="137"/>
        <v>1.4811345775316001E-6</v>
      </c>
      <c r="AV137">
        <f t="shared" si="138"/>
        <v>1.5707963267948966</v>
      </c>
      <c r="AW137" t="str">
        <f t="shared" si="114"/>
        <v>1+0,00464196473313841i</v>
      </c>
      <c r="AX137">
        <f t="shared" si="139"/>
        <v>1.0000107738602537</v>
      </c>
      <c r="AY137">
        <f t="shared" si="140"/>
        <v>4.6419313921369663E-3</v>
      </c>
      <c r="AZ137" t="str">
        <f t="shared" si="115"/>
        <v>1+0,321139560174394i</v>
      </c>
      <c r="BA137">
        <f t="shared" si="141"/>
        <v>1.0503002509325623</v>
      </c>
      <c r="BB137">
        <f t="shared" si="142"/>
        <v>0.31073631078175712</v>
      </c>
      <c r="BC137" s="41" t="str">
        <f t="shared" si="143"/>
        <v>-3,56135515469939+11,2691666038928i</v>
      </c>
      <c r="BD137">
        <f t="shared" si="144"/>
        <v>21.451260381300848</v>
      </c>
      <c r="BE137" s="43">
        <f t="shared" si="145"/>
        <v>107.53791607170139</v>
      </c>
      <c r="BF137" s="41" t="str">
        <f t="shared" si="146"/>
        <v>74,3704868423863+35,8659368381649i</v>
      </c>
      <c r="BG137" s="20">
        <f t="shared" si="147"/>
        <v>38.336146188471922</v>
      </c>
      <c r="BH137" s="43">
        <f t="shared" si="148"/>
        <v>25.746170107745151</v>
      </c>
      <c r="BI137" s="41" t="str">
        <f t="shared" si="152"/>
        <v>234,856881053463+114,540365217102i</v>
      </c>
      <c r="BJ137" s="20">
        <f t="shared" si="149"/>
        <v>48.342760197303505</v>
      </c>
      <c r="BK137" s="43">
        <f t="shared" si="153"/>
        <v>25.9986225373423</v>
      </c>
      <c r="BL137">
        <f t="shared" si="150"/>
        <v>38.336146188471922</v>
      </c>
      <c r="BM137" s="43">
        <f t="shared" si="151"/>
        <v>25.746170107745151</v>
      </c>
    </row>
    <row r="138" spans="14:65" x14ac:dyDescent="0.25">
      <c r="N138" s="9">
        <v>20</v>
      </c>
      <c r="O138" s="34">
        <f t="shared" si="154"/>
        <v>158.48931924611153</v>
      </c>
      <c r="P138" s="33" t="str">
        <f t="shared" si="103"/>
        <v>54,631621870174</v>
      </c>
      <c r="Q138" s="4" t="str">
        <f t="shared" si="104"/>
        <v>1+7,9379126163851i</v>
      </c>
      <c r="R138" s="4">
        <f t="shared" si="117"/>
        <v>8.0006535173925482</v>
      </c>
      <c r="S138" s="4">
        <f t="shared" si="118"/>
        <v>1.4454787867110206</v>
      </c>
      <c r="T138" s="4" t="str">
        <f t="shared" si="105"/>
        <v>1+0,0199163552406413i</v>
      </c>
      <c r="U138" s="4">
        <f t="shared" si="119"/>
        <v>1.0001983109394215</v>
      </c>
      <c r="V138" s="4">
        <f t="shared" si="120"/>
        <v>1.9913722518695331E-2</v>
      </c>
      <c r="W138" t="str">
        <f t="shared" si="106"/>
        <v>1-0,00396269630097882i</v>
      </c>
      <c r="X138" s="4">
        <f t="shared" si="121"/>
        <v>1.0000078514501642</v>
      </c>
      <c r="Y138" s="4">
        <f t="shared" si="122"/>
        <v>-3.9626755591511348E-3</v>
      </c>
      <c r="Z138" t="str">
        <f t="shared" si="107"/>
        <v>0,999999899524543+0,000544442421297903i</v>
      </c>
      <c r="AA138" s="4">
        <f t="shared" si="123"/>
        <v>1.000000047733322</v>
      </c>
      <c r="AB138" s="4">
        <f t="shared" si="124"/>
        <v>5.4444242220690671E-4</v>
      </c>
      <c r="AC138" s="47" t="str">
        <f t="shared" si="125"/>
        <v>0,957949019688003-6,76228763447843i</v>
      </c>
      <c r="AD138" s="20">
        <f t="shared" si="126"/>
        <v>16.688162735261439</v>
      </c>
      <c r="AE138" s="43">
        <f t="shared" si="127"/>
        <v>-81.937100437615854</v>
      </c>
      <c r="AF138" t="str">
        <f t="shared" si="108"/>
        <v>171,265703090588</v>
      </c>
      <c r="AG138" t="str">
        <f t="shared" si="109"/>
        <v>1+7,8619466542375i</v>
      </c>
      <c r="AH138">
        <f t="shared" si="128"/>
        <v>7.9252889659668702</v>
      </c>
      <c r="AI138">
        <f t="shared" si="129"/>
        <v>1.444280726685742</v>
      </c>
      <c r="AJ138" t="str">
        <f t="shared" si="110"/>
        <v>1+0,0199163552406413i</v>
      </c>
      <c r="AK138">
        <f t="shared" si="130"/>
        <v>1.0001983109394215</v>
      </c>
      <c r="AL138">
        <f t="shared" si="131"/>
        <v>1.9913722518695331E-2</v>
      </c>
      <c r="AM138" t="str">
        <f t="shared" si="111"/>
        <v>1-0,00125195265387498i</v>
      </c>
      <c r="AN138">
        <f t="shared" si="132"/>
        <v>1.0000007836924167</v>
      </c>
      <c r="AO138">
        <f t="shared" si="133"/>
        <v>-1.2519519997781382E-3</v>
      </c>
      <c r="AP138" s="41" t="str">
        <f t="shared" si="134"/>
        <v>3,12690034478135-21,3869516719995i</v>
      </c>
      <c r="AQ138">
        <f t="shared" si="135"/>
        <v>26.694835056982363</v>
      </c>
      <c r="AR138" s="43">
        <f t="shared" si="136"/>
        <v>-81.681949382204962</v>
      </c>
      <c r="AS138" t="str">
        <f t="shared" si="112"/>
        <v>-0,0000166666666666667</v>
      </c>
      <c r="AT138" t="str">
        <f t="shared" si="113"/>
        <v>0,0000015156346338128i</v>
      </c>
      <c r="AU138">
        <f t="shared" si="137"/>
        <v>1.5156346338128E-6</v>
      </c>
      <c r="AV138">
        <f t="shared" si="138"/>
        <v>1.5707963267948966</v>
      </c>
      <c r="AW138" t="str">
        <f t="shared" si="114"/>
        <v>1+0,00475008998183494i</v>
      </c>
      <c r="AX138">
        <f t="shared" si="139"/>
        <v>1.0000112816137805</v>
      </c>
      <c r="AY138">
        <f t="shared" si="140"/>
        <v>4.7500542563300042E-3</v>
      </c>
      <c r="AZ138" t="str">
        <f t="shared" si="115"/>
        <v>1+0,328619861470581i</v>
      </c>
      <c r="BA138">
        <f t="shared" si="141"/>
        <v>1.0526115206252227</v>
      </c>
      <c r="BB138">
        <f t="shared" si="142"/>
        <v>0.31750244823991181</v>
      </c>
      <c r="BC138" s="41" t="str">
        <f t="shared" si="143"/>
        <v>-3,56135153815984+11,0134104168027i</v>
      </c>
      <c r="BD138">
        <f t="shared" si="144"/>
        <v>21.270348965666468</v>
      </c>
      <c r="BE138" s="43">
        <f t="shared" si="145"/>
        <v>107.91939220787197</v>
      </c>
      <c r="BF138" s="41" t="str">
        <f t="shared" si="146"/>
        <v>71,0642558602362+34,6331691807268i</v>
      </c>
      <c r="BG138" s="20">
        <f t="shared" si="147"/>
        <v>37.958511700927907</v>
      </c>
      <c r="BH138" s="43">
        <f t="shared" si="148"/>
        <v>25.982291770256129</v>
      </c>
      <c r="BI138" s="41" t="str">
        <f t="shared" si="152"/>
        <v>224,407284975496+110,604290063144i</v>
      </c>
      <c r="BJ138" s="20">
        <f t="shared" si="149"/>
        <v>47.965184022648835</v>
      </c>
      <c r="BK138" s="43">
        <f t="shared" si="153"/>
        <v>26.237442825666879</v>
      </c>
      <c r="BL138">
        <f t="shared" si="150"/>
        <v>37.958511700927907</v>
      </c>
      <c r="BM138" s="43">
        <f t="shared" si="151"/>
        <v>25.982291770256129</v>
      </c>
    </row>
    <row r="139" spans="14:65" x14ac:dyDescent="0.25">
      <c r="N139" s="9">
        <v>21</v>
      </c>
      <c r="O139" s="34">
        <f t="shared" si="154"/>
        <v>162.18100973589304</v>
      </c>
      <c r="P139" s="33" t="str">
        <f t="shared" si="103"/>
        <v>54,631621870174</v>
      </c>
      <c r="Q139" s="4" t="str">
        <f t="shared" si="104"/>
        <v>1+8,12281035368383i</v>
      </c>
      <c r="R139" s="4">
        <f t="shared" si="117"/>
        <v>8.1841339213085469</v>
      </c>
      <c r="S139" s="4">
        <f t="shared" si="118"/>
        <v>1.4483025870327595</v>
      </c>
      <c r="T139" s="4" t="str">
        <f t="shared" si="105"/>
        <v>1+0,0203802667495222i</v>
      </c>
      <c r="U139" s="4">
        <f t="shared" si="119"/>
        <v>1.0002076560758679</v>
      </c>
      <c r="V139" s="4">
        <f t="shared" si="120"/>
        <v>2.0377445768762669E-2</v>
      </c>
      <c r="W139" t="str">
        <f t="shared" si="106"/>
        <v>1-0,00405499935532848i</v>
      </c>
      <c r="X139" s="4">
        <f t="shared" si="121"/>
        <v>1.0000082214760895</v>
      </c>
      <c r="Y139" s="4">
        <f t="shared" si="122"/>
        <v>-4.0549771300695588E-3</v>
      </c>
      <c r="Z139" t="str">
        <f t="shared" si="107"/>
        <v>0,99999989478928+0,000557124114414508i</v>
      </c>
      <c r="AA139" s="4">
        <f t="shared" si="123"/>
        <v>1.0000000499829238</v>
      </c>
      <c r="AB139" s="4">
        <f t="shared" si="124"/>
        <v>5.5712411538852338E-4</v>
      </c>
      <c r="AC139" s="47" t="str">
        <f t="shared" si="125"/>
        <v>0,920183097904478-6,61303624897691i</v>
      </c>
      <c r="AD139" s="20">
        <f t="shared" si="126"/>
        <v>16.491301795356147</v>
      </c>
      <c r="AE139" s="43">
        <f t="shared" si="127"/>
        <v>-82.078337991100682</v>
      </c>
      <c r="AF139" t="str">
        <f t="shared" si="108"/>
        <v>171,265703090588</v>
      </c>
      <c r="AG139" t="str">
        <f t="shared" si="109"/>
        <v>1+8,04507491696633i</v>
      </c>
      <c r="AH139">
        <f t="shared" si="128"/>
        <v>8.1069865190217758</v>
      </c>
      <c r="AI139">
        <f t="shared" si="129"/>
        <v>1.4471309665274812</v>
      </c>
      <c r="AJ139" t="str">
        <f t="shared" si="110"/>
        <v>1+0,0203802667495222i</v>
      </c>
      <c r="AK139">
        <f t="shared" si="130"/>
        <v>1.0002076560758679</v>
      </c>
      <c r="AL139">
        <f t="shared" si="131"/>
        <v>2.0377445768762669E-2</v>
      </c>
      <c r="AM139" t="str">
        <f t="shared" si="111"/>
        <v>1-0,00128111437737755i</v>
      </c>
      <c r="AN139">
        <f t="shared" si="132"/>
        <v>1.0000008206266873</v>
      </c>
      <c r="AO139">
        <f t="shared" si="133"/>
        <v>-1.2811136765001876E-3</v>
      </c>
      <c r="AP139" s="41" t="str">
        <f t="shared" si="134"/>
        <v>3,00633205265945-20,9151368294728i</v>
      </c>
      <c r="AQ139">
        <f t="shared" si="135"/>
        <v>26.49802963739937</v>
      </c>
      <c r="AR139" s="43">
        <f t="shared" si="136"/>
        <v>-81.820357551645401</v>
      </c>
      <c r="AS139" t="str">
        <f t="shared" si="112"/>
        <v>-0,0000166666666666667</v>
      </c>
      <c r="AT139" t="str">
        <f t="shared" si="113"/>
        <v>1,55093829963864E-06i</v>
      </c>
      <c r="AU139">
        <f t="shared" si="137"/>
        <v>1.5509382996386399E-6</v>
      </c>
      <c r="AV139">
        <f t="shared" si="138"/>
        <v>1.5707963267948966</v>
      </c>
      <c r="AW139" t="str">
        <f t="shared" si="114"/>
        <v>1+0,00486073379111469i</v>
      </c>
      <c r="AX139">
        <f t="shared" si="139"/>
        <v>1.0000118132967171</v>
      </c>
      <c r="AY139">
        <f t="shared" si="140"/>
        <v>4.8606955105708859E-3</v>
      </c>
      <c r="AZ139" t="str">
        <f t="shared" si="115"/>
        <v>1+0,336274401367116i</v>
      </c>
      <c r="BA139">
        <f t="shared" si="141"/>
        <v>1.0550262902007761</v>
      </c>
      <c r="BB139">
        <f t="shared" si="142"/>
        <v>0.32439517605240992</v>
      </c>
      <c r="BC139" s="41" t="str">
        <f t="shared" si="143"/>
        <v>-3,56134775118589+10,7634936840757i</v>
      </c>
      <c r="BD139">
        <f t="shared" si="144"/>
        <v>21.090247607148584</v>
      </c>
      <c r="BE139" s="43">
        <f t="shared" si="145"/>
        <v>108.30797714395257</v>
      </c>
      <c r="BF139" s="41" t="str">
        <f t="shared" si="146"/>
        <v>67,9022818920253+33,4557067362928i</v>
      </c>
      <c r="BG139" s="20">
        <f t="shared" si="147"/>
        <v>37.581549402504734</v>
      </c>
      <c r="BH139" s="43">
        <f t="shared" si="148"/>
        <v>26.229639152851917</v>
      </c>
      <c r="BI139" s="41" t="str">
        <f t="shared" si="152"/>
        <v>214,413349270553+106,844711574422i</v>
      </c>
      <c r="BJ139" s="20">
        <f t="shared" si="149"/>
        <v>47.58827724454796</v>
      </c>
      <c r="BK139" s="43">
        <f t="shared" si="153"/>
        <v>26.487619592307055</v>
      </c>
      <c r="BL139">
        <f t="shared" si="150"/>
        <v>37.581549402504734</v>
      </c>
      <c r="BM139" s="43">
        <f t="shared" si="151"/>
        <v>26.229639152851917</v>
      </c>
    </row>
    <row r="140" spans="14:65" x14ac:dyDescent="0.25">
      <c r="N140" s="9">
        <v>22</v>
      </c>
      <c r="O140" s="34">
        <f t="shared" si="154"/>
        <v>165.95869074375622</v>
      </c>
      <c r="P140" s="33" t="str">
        <f t="shared" si="103"/>
        <v>54,631621870174</v>
      </c>
      <c r="Q140" s="4" t="str">
        <f t="shared" si="104"/>
        <v>1+8,31201491255025i</v>
      </c>
      <c r="R140" s="4">
        <f t="shared" si="117"/>
        <v>8.3719526937541726</v>
      </c>
      <c r="S140" s="4">
        <f t="shared" si="118"/>
        <v>1.4510640082372885</v>
      </c>
      <c r="T140" s="4" t="str">
        <f t="shared" si="105"/>
        <v>1+0,0208549841455986i</v>
      </c>
      <c r="U140" s="4">
        <f t="shared" si="119"/>
        <v>1.0002174415414447</v>
      </c>
      <c r="V140" s="4">
        <f t="shared" si="120"/>
        <v>2.0851961445744541E-2</v>
      </c>
      <c r="W140" t="str">
        <f t="shared" si="106"/>
        <v>1-0,00414945242401062i</v>
      </c>
      <c r="X140" s="4">
        <f t="shared" si="121"/>
        <v>1.0000086089406526</v>
      </c>
      <c r="Y140" s="4">
        <f t="shared" si="122"/>
        <v>-4.1494286092276945E-3</v>
      </c>
      <c r="Z140" t="str">
        <f t="shared" si="107"/>
        <v>0,999999889830852+0,00057010120211099i</v>
      </c>
      <c r="AA140" s="4">
        <f t="shared" si="123"/>
        <v>1.0000000523385471</v>
      </c>
      <c r="AB140" s="4">
        <f t="shared" si="124"/>
        <v>5.7010120315466588E-4</v>
      </c>
      <c r="AC140" s="47" t="str">
        <f t="shared" si="125"/>
        <v>0,884067276215625-6,46687853280379i</v>
      </c>
      <c r="AD140" s="20">
        <f t="shared" si="126"/>
        <v>16.294309351495922</v>
      </c>
      <c r="AE140" s="43">
        <f t="shared" si="127"/>
        <v>-82.215523229458157</v>
      </c>
      <c r="AF140" t="str">
        <f t="shared" si="108"/>
        <v>171,265703090588</v>
      </c>
      <c r="AG140" t="str">
        <f t="shared" si="109"/>
        <v>1+8,23246878490534i</v>
      </c>
      <c r="AH140">
        <f t="shared" si="128"/>
        <v>8.2929815081453544</v>
      </c>
      <c r="AI140">
        <f t="shared" si="129"/>
        <v>1.4499182798458932</v>
      </c>
      <c r="AJ140" t="str">
        <f t="shared" si="110"/>
        <v>1+0,0208549841455986i</v>
      </c>
      <c r="AK140">
        <f t="shared" si="130"/>
        <v>1.0002174415414447</v>
      </c>
      <c r="AL140">
        <f t="shared" si="131"/>
        <v>2.0851961445744541E-2</v>
      </c>
      <c r="AM140" t="str">
        <f t="shared" si="111"/>
        <v>1-0,00131095536468058i</v>
      </c>
      <c r="AN140">
        <f t="shared" si="132"/>
        <v>1.000000859301615</v>
      </c>
      <c r="AO140">
        <f t="shared" si="133"/>
        <v>-1.3109546136769903E-3</v>
      </c>
      <c r="AP140" s="41" t="str">
        <f t="shared" si="134"/>
        <v>2,89102870214965-20,4530817163258i</v>
      </c>
      <c r="AQ140">
        <f t="shared" si="135"/>
        <v>26.301090027769</v>
      </c>
      <c r="AR140" s="43">
        <f t="shared" si="136"/>
        <v>-81.954580855124121</v>
      </c>
      <c r="AS140" t="str">
        <f t="shared" si="112"/>
        <v>-0,0000166666666666667</v>
      </c>
      <c r="AT140" t="str">
        <f t="shared" si="113"/>
        <v>1,58706429348005E-06i</v>
      </c>
      <c r="AU140">
        <f t="shared" si="137"/>
        <v>1.58706429348005E-6</v>
      </c>
      <c r="AV140">
        <f t="shared" si="138"/>
        <v>1.5707963267948966</v>
      </c>
      <c r="AW140" t="str">
        <f t="shared" si="114"/>
        <v>1+0,00497395482578994i</v>
      </c>
      <c r="AX140">
        <f t="shared" si="139"/>
        <v>1.0000123700367956</v>
      </c>
      <c r="AY140">
        <f t="shared" si="140"/>
        <v>4.9739138074756419E-3</v>
      </c>
      <c r="AZ140" t="str">
        <f t="shared" si="115"/>
        <v>1+0,344107238402377i</v>
      </c>
      <c r="BA140">
        <f t="shared" si="141"/>
        <v>1.0575489546687238</v>
      </c>
      <c r="BB140">
        <f t="shared" si="142"/>
        <v>0.33141552818119097</v>
      </c>
      <c r="BC140" s="41" t="str">
        <f t="shared" si="143"/>
        <v>-3,56134378574601+10,5192838964363i</v>
      </c>
      <c r="BD140">
        <f t="shared" si="144"/>
        <v>20.910986738419389</v>
      </c>
      <c r="BE140" s="43">
        <f t="shared" si="145"/>
        <v>108.703726761051</v>
      </c>
      <c r="BF140" s="41" t="str">
        <f t="shared" si="146"/>
        <v>64,8784637100006+32,3305323380364i</v>
      </c>
      <c r="BG140" s="20">
        <f t="shared" si="147"/>
        <v>37.205296089915315</v>
      </c>
      <c r="BH140" s="43">
        <f t="shared" si="148"/>
        <v>26.488203531592863</v>
      </c>
      <c r="BI140" s="41" t="str">
        <f t="shared" si="152"/>
        <v>204,855826028228+103,25200714045i</v>
      </c>
      <c r="BJ140" s="20">
        <f t="shared" si="149"/>
        <v>47.212076766188389</v>
      </c>
      <c r="BK140" s="43">
        <f t="shared" si="153"/>
        <v>26.749145905926817</v>
      </c>
      <c r="BL140">
        <f t="shared" si="150"/>
        <v>37.205296089915315</v>
      </c>
      <c r="BM140" s="43">
        <f t="shared" si="151"/>
        <v>26.488203531592863</v>
      </c>
    </row>
    <row r="141" spans="14:65" x14ac:dyDescent="0.25">
      <c r="N141" s="9">
        <v>23</v>
      </c>
      <c r="O141" s="34">
        <f t="shared" si="154"/>
        <v>169.82436524617444</v>
      </c>
      <c r="P141" s="33" t="str">
        <f t="shared" si="103"/>
        <v>54,631621870174</v>
      </c>
      <c r="Q141" s="4" t="str">
        <f t="shared" si="104"/>
        <v>1+8,50562661174576i</v>
      </c>
      <c r="R141" s="4">
        <f t="shared" si="117"/>
        <v>8.5642094824004413</v>
      </c>
      <c r="S141" s="4">
        <f t="shared" si="118"/>
        <v>1.45376434591976</v>
      </c>
      <c r="T141" s="4" t="str">
        <f t="shared" si="105"/>
        <v>1+0,0213407591303172i</v>
      </c>
      <c r="U141" s="4">
        <f t="shared" si="119"/>
        <v>1.0002276880791985</v>
      </c>
      <c r="V141" s="4">
        <f t="shared" si="120"/>
        <v>2.1337520288888353E-2</v>
      </c>
      <c r="W141" t="str">
        <f t="shared" si="106"/>
        <v>1-0,00424610558729244i</v>
      </c>
      <c r="X141" s="4">
        <f t="shared" si="121"/>
        <v>1.000009014665697</v>
      </c>
      <c r="Y141" s="4">
        <f t="shared" si="122"/>
        <v>-4.2460800693052093E-3</v>
      </c>
      <c r="Z141" t="str">
        <f t="shared" si="107"/>
        <v>0,99999988463874+0,000583380565011007i</v>
      </c>
      <c r="AA141" s="4">
        <f t="shared" si="123"/>
        <v>1.0000000548051871</v>
      </c>
      <c r="AB141" s="4">
        <f t="shared" si="124"/>
        <v>5.8338056612932581E-4</v>
      </c>
      <c r="AC141" s="47" t="str">
        <f t="shared" si="125"/>
        <v>0,849531564584667-6,32376375592529i</v>
      </c>
      <c r="AD141" s="20">
        <f t="shared" si="126"/>
        <v>16.097191514150783</v>
      </c>
      <c r="AE141" s="43">
        <f t="shared" si="127"/>
        <v>-82.348719281705797</v>
      </c>
      <c r="AF141" t="str">
        <f t="shared" si="108"/>
        <v>171,265703090588</v>
      </c>
      <c r="AG141" t="str">
        <f t="shared" si="109"/>
        <v>1+8,42422761676366i</v>
      </c>
      <c r="AH141">
        <f t="shared" si="128"/>
        <v>8.4833726158317209</v>
      </c>
      <c r="AI141">
        <f t="shared" si="129"/>
        <v>1.4526439711789279</v>
      </c>
      <c r="AJ141" t="str">
        <f t="shared" si="110"/>
        <v>1+0,0213407591303172i</v>
      </c>
      <c r="AK141">
        <f t="shared" si="130"/>
        <v>1.0002276880791985</v>
      </c>
      <c r="AL141">
        <f t="shared" si="131"/>
        <v>2.1337520288888353E-2</v>
      </c>
      <c r="AM141" t="str">
        <f t="shared" si="111"/>
        <v>1-0,00134149143787049i</v>
      </c>
      <c r="AN141">
        <f t="shared" si="132"/>
        <v>1.000000899799234</v>
      </c>
      <c r="AO141">
        <f t="shared" si="133"/>
        <v>-1.3414906331556847E-3</v>
      </c>
      <c r="AP141" s="41" t="str">
        <f t="shared" si="134"/>
        <v>2,78076724107115-20,0006275453795i</v>
      </c>
      <c r="AQ141">
        <f t="shared" si="135"/>
        <v>26.104022440303133</v>
      </c>
      <c r="AR141" s="43">
        <f t="shared" si="136"/>
        <v>-82.084680577384248</v>
      </c>
      <c r="AS141" t="str">
        <f t="shared" si="112"/>
        <v>-0,0000166666666666667</v>
      </c>
      <c r="AT141" t="str">
        <f t="shared" si="113"/>
        <v>1,62403176981714E-06i</v>
      </c>
      <c r="AU141">
        <f t="shared" si="137"/>
        <v>1.6240317698171401E-6</v>
      </c>
      <c r="AV141">
        <f t="shared" si="138"/>
        <v>1.5707963267948966</v>
      </c>
      <c r="AW141" t="str">
        <f t="shared" si="114"/>
        <v>1+0,00508981311715187i</v>
      </c>
      <c r="AX141">
        <f t="shared" si="139"/>
        <v>1.0000129530148936</v>
      </c>
      <c r="AY141">
        <f t="shared" si="140"/>
        <v>5.089769165266979E-3</v>
      </c>
      <c r="AZ141" t="str">
        <f t="shared" si="115"/>
        <v>1+0,352122525650234i</v>
      </c>
      <c r="BA141">
        <f t="shared" si="141"/>
        <v>1.060184075088048</v>
      </c>
      <c r="BB141">
        <f t="shared" si="142"/>
        <v>0.33856445799845142</v>
      </c>
      <c r="BC141" s="41" t="str">
        <f t="shared" si="143"/>
        <v>-3,56133963343014+10,2806515704983i</v>
      </c>
      <c r="BD141">
        <f t="shared" si="144"/>
        <v>20.732597597710487</v>
      </c>
      <c r="BE141" s="43">
        <f t="shared" si="145"/>
        <v>109.10669224457989</v>
      </c>
      <c r="BF141" s="41" t="str">
        <f t="shared" si="146"/>
        <v>61,9869413580083+31,254808510061i</v>
      </c>
      <c r="BG141" s="20">
        <f t="shared" si="147"/>
        <v>36.829789111861274</v>
      </c>
      <c r="BH141" s="43">
        <f t="shared" si="148"/>
        <v>26.75797296287406</v>
      </c>
      <c r="BI141" s="41" t="str">
        <f t="shared" si="152"/>
        <v>195,716226398386+99,817126674943i</v>
      </c>
      <c r="BJ141" s="20">
        <f t="shared" si="149"/>
        <v>46.836620038013606</v>
      </c>
      <c r="BK141" s="43">
        <f t="shared" si="153"/>
        <v>27.02201166719572</v>
      </c>
      <c r="BL141">
        <f t="shared" si="150"/>
        <v>36.829789111861274</v>
      </c>
      <c r="BM141" s="43">
        <f t="shared" si="151"/>
        <v>26.75797296287406</v>
      </c>
    </row>
    <row r="142" spans="14:65" x14ac:dyDescent="0.25">
      <c r="N142" s="9">
        <v>24</v>
      </c>
      <c r="O142" s="34">
        <f t="shared" si="154"/>
        <v>173.78008287493768</v>
      </c>
      <c r="P142" s="33" t="str">
        <f t="shared" si="103"/>
        <v>54,631621870174</v>
      </c>
      <c r="Q142" s="4" t="str">
        <f t="shared" si="104"/>
        <v>1+8,70374810675617i</v>
      </c>
      <c r="R142" s="4">
        <f t="shared" si="117"/>
        <v>8.7610062838615512</v>
      </c>
      <c r="S142" s="4">
        <f t="shared" si="118"/>
        <v>1.4564048742271207</v>
      </c>
      <c r="T142" s="4" t="str">
        <f t="shared" si="105"/>
        <v>1+0,0218378492680052i</v>
      </c>
      <c r="U142" s="4">
        <f t="shared" si="119"/>
        <v>1.0002384174088956</v>
      </c>
      <c r="V142" s="4">
        <f t="shared" si="120"/>
        <v>2.1834378831563583E-2</v>
      </c>
      <c r="W142" t="str">
        <f t="shared" si="106"/>
        <v>1-0,00434501009196053i</v>
      </c>
      <c r="X142" s="4">
        <f t="shared" si="121"/>
        <v>1.0000094395117973</v>
      </c>
      <c r="Y142" s="4">
        <f t="shared" si="122"/>
        <v>-4.3449827489585209E-3</v>
      </c>
      <c r="Z142" t="str">
        <f t="shared" si="107"/>
        <v>0,999999879201931+0,000596969244008553i</v>
      </c>
      <c r="AA142" s="4">
        <f t="shared" si="123"/>
        <v>1.0000000573880758</v>
      </c>
      <c r="AB142" s="4">
        <f t="shared" si="124"/>
        <v>5.9696924520685323E-4</v>
      </c>
      <c r="AC142" s="47" t="str">
        <f t="shared" si="125"/>
        <v>0,816508758324506-6,18364109805216i</v>
      </c>
      <c r="AD142" s="20">
        <f t="shared" si="126"/>
        <v>15.899954151007311</v>
      </c>
      <c r="AE142" s="43">
        <f t="shared" si="127"/>
        <v>-82.477987791979061</v>
      </c>
      <c r="AF142" t="str">
        <f t="shared" si="108"/>
        <v>171,265703090588</v>
      </c>
      <c r="AG142" t="str">
        <f t="shared" si="109"/>
        <v>1+8,62045308561228i</v>
      </c>
      <c r="AH142">
        <f t="shared" si="128"/>
        <v>8.6782608511868471</v>
      </c>
      <c r="AI142">
        <f t="shared" si="129"/>
        <v>1.4553093236353005</v>
      </c>
      <c r="AJ142" t="str">
        <f t="shared" si="110"/>
        <v>1+0,0218378492680052i</v>
      </c>
      <c r="AK142">
        <f t="shared" si="130"/>
        <v>1.0002384174088956</v>
      </c>
      <c r="AL142">
        <f t="shared" si="131"/>
        <v>2.1834378831563583E-2</v>
      </c>
      <c r="AM142" t="str">
        <f t="shared" si="111"/>
        <v>1-0,00137273878757751i</v>
      </c>
      <c r="AN142">
        <f t="shared" si="132"/>
        <v>1.0000009422054454</v>
      </c>
      <c r="AO142">
        <f t="shared" si="133"/>
        <v>-1.3727379253101048E-3</v>
      </c>
      <c r="AP142" s="41" t="str">
        <f t="shared" si="134"/>
        <v>2,67533347080601-19,5576151381945i</v>
      </c>
      <c r="AQ142">
        <f t="shared" si="135"/>
        <v>25.906832839832077</v>
      </c>
      <c r="AR142" s="43">
        <f t="shared" si="136"/>
        <v>-82.210716464500592</v>
      </c>
      <c r="AS142" t="str">
        <f t="shared" si="112"/>
        <v>-0,0000166666666666667</v>
      </c>
      <c r="AT142" t="str">
        <f t="shared" si="113"/>
        <v>1,66186032929519E-06i</v>
      </c>
      <c r="AU142">
        <f t="shared" si="137"/>
        <v>1.66186032929519E-6</v>
      </c>
      <c r="AV142">
        <f t="shared" si="138"/>
        <v>1.5707963267948966</v>
      </c>
      <c r="AW142" t="str">
        <f t="shared" si="114"/>
        <v>1+0,00520837009480019i</v>
      </c>
      <c r="AX142">
        <f t="shared" si="139"/>
        <v>1.0000135634675384</v>
      </c>
      <c r="AY142">
        <f t="shared" si="140"/>
        <v>5.2083229995415264E-3</v>
      </c>
      <c r="AZ142" t="str">
        <f t="shared" si="115"/>
        <v>1+0,360324512922086i</v>
      </c>
      <c r="BA142">
        <f t="shared" si="141"/>
        <v>1.0629363831446068</v>
      </c>
      <c r="BB142">
        <f t="shared" si="142"/>
        <v>0.34584283213544592</v>
      </c>
      <c r="BC142" s="41" t="str">
        <f t="shared" si="143"/>
        <v>-3,56133528543206+10,047470180111i</v>
      </c>
      <c r="BD142">
        <f t="shared" si="144"/>
        <v>20.555112221095406</v>
      </c>
      <c r="BE142" s="43">
        <f t="shared" si="145"/>
        <v>109.51691972999778</v>
      </c>
      <c r="BF142" s="41" t="str">
        <f t="shared" si="146"/>
        <v>59,2220880853025+30,2258666360059i</v>
      </c>
      <c r="BG142" s="20">
        <f t="shared" si="147"/>
        <v>36.455066372102714</v>
      </c>
      <c r="BH142" s="43">
        <f t="shared" si="148"/>
        <v>27.038931938018713</v>
      </c>
      <c r="BI142" s="41" t="str">
        <f t="shared" si="152"/>
        <v>186,976795405218+96,5315581603285i</v>
      </c>
      <c r="BJ142" s="20">
        <f t="shared" si="149"/>
        <v>46.461945060927491</v>
      </c>
      <c r="BK142" s="43">
        <f t="shared" si="153"/>
        <v>27.306203265497171</v>
      </c>
      <c r="BL142">
        <f t="shared" si="150"/>
        <v>36.455066372102714</v>
      </c>
      <c r="BM142" s="43">
        <f t="shared" si="151"/>
        <v>27.038931938018713</v>
      </c>
    </row>
    <row r="143" spans="14:65" x14ac:dyDescent="0.25">
      <c r="N143" s="9">
        <v>25</v>
      </c>
      <c r="O143" s="34">
        <f t="shared" si="154"/>
        <v>177.82794100389242</v>
      </c>
      <c r="P143" s="33" t="str">
        <f t="shared" si="103"/>
        <v>54,631621870174</v>
      </c>
      <c r="Q143" s="4" t="str">
        <f t="shared" si="104"/>
        <v>1+8,9064844442205i</v>
      </c>
      <c r="R143" s="4">
        <f t="shared" si="117"/>
        <v>8.9624474980410191</v>
      </c>
      <c r="S143" s="4">
        <f t="shared" si="118"/>
        <v>1.4589868458366131</v>
      </c>
      <c r="T143" s="4" t="str">
        <f t="shared" si="105"/>
        <v>1+0,0223465181224332i</v>
      </c>
      <c r="U143" s="4">
        <f t="shared" si="119"/>
        <v>1.0002496522729694</v>
      </c>
      <c r="V143" s="4">
        <f t="shared" si="120"/>
        <v>2.2342799532914123E-2</v>
      </c>
      <c r="W143" t="str">
        <f t="shared" si="106"/>
        <v>1-0,00444621837849238i</v>
      </c>
      <c r="X143" s="4">
        <f t="shared" si="121"/>
        <v>1.000009884380084</v>
      </c>
      <c r="Y143" s="4">
        <f t="shared" si="122"/>
        <v>-4.4461890799535053E-3</v>
      </c>
      <c r="Z143" t="str">
        <f t="shared" si="107"/>
        <v>0,999999873508894+0,000610874444001094i</v>
      </c>
      <c r="AA143" s="4">
        <f t="shared" si="123"/>
        <v>1.0000000600926935</v>
      </c>
      <c r="AB143" s="4">
        <f t="shared" si="124"/>
        <v>6.1087444528509544E-4</v>
      </c>
      <c r="AC143" s="47" t="str">
        <f t="shared" si="125"/>
        <v>0,784934343366525-6,0464597266725i</v>
      </c>
      <c r="AD143" s="20">
        <f t="shared" si="126"/>
        <v>15.70260289742496</v>
      </c>
      <c r="AE143" s="43">
        <f t="shared" si="127"/>
        <v>-82.603388912524878</v>
      </c>
      <c r="AF143" t="str">
        <f t="shared" si="108"/>
        <v>171,265703090588</v>
      </c>
      <c r="AG143" t="str">
        <f t="shared" si="109"/>
        <v>1+8,82124923279209i</v>
      </c>
      <c r="AH143">
        <f t="shared" si="128"/>
        <v>8.877749603758545</v>
      </c>
      <c r="AI143">
        <f t="shared" si="129"/>
        <v>1.4579155988590009</v>
      </c>
      <c r="AJ143" t="str">
        <f t="shared" si="110"/>
        <v>1+0,0223465181224332i</v>
      </c>
      <c r="AK143">
        <f t="shared" si="130"/>
        <v>1.0002496522729694</v>
      </c>
      <c r="AL143">
        <f t="shared" si="131"/>
        <v>2.2342799532914123E-2</v>
      </c>
      <c r="AM143" t="str">
        <f t="shared" si="111"/>
        <v>1-0,00140471398156005i</v>
      </c>
      <c r="AN143">
        <f t="shared" si="132"/>
        <v>1.0000009866101984</v>
      </c>
      <c r="AO143">
        <f t="shared" si="133"/>
        <v>-1.4047130576239281E-3</v>
      </c>
      <c r="AP143" s="41" t="str">
        <f t="shared" si="134"/>
        <v>2,57452174728879-19,1238851779058i</v>
      </c>
      <c r="AQ143">
        <f t="shared" si="135"/>
        <v>25.709526954392491</v>
      </c>
      <c r="AR143" s="43">
        <f t="shared" si="136"/>
        <v>-82.332746714794638</v>
      </c>
      <c r="AS143" t="str">
        <f t="shared" si="112"/>
        <v>-0,0000166666666666667</v>
      </c>
      <c r="AT143" t="str">
        <f t="shared" si="113"/>
        <v>1,70057002911716E-06i</v>
      </c>
      <c r="AU143">
        <f t="shared" si="137"/>
        <v>1.70057002911716E-6</v>
      </c>
      <c r="AV143">
        <f t="shared" si="138"/>
        <v>1.5707963267948966</v>
      </c>
      <c r="AW143" t="str">
        <f t="shared" si="114"/>
        <v>1+0,0053296886192137i</v>
      </c>
      <c r="AX143">
        <f t="shared" si="139"/>
        <v>1.0000142026895307</v>
      </c>
      <c r="AY143">
        <f t="shared" si="140"/>
        <v>5.3296381557735653E-3</v>
      </c>
      <c r="AZ143" t="str">
        <f t="shared" si="115"/>
        <v>1+0,368717549020148i</v>
      </c>
      <c r="BA143">
        <f t="shared" si="141"/>
        <v>1.0658107857192221</v>
      </c>
      <c r="BB143">
        <f t="shared" si="142"/>
        <v>0.35325142416869115</v>
      </c>
      <c r="BC143" s="41" t="str">
        <f t="shared" si="143"/>
        <v>-3,56133073253051+9,81961608927205i</v>
      </c>
      <c r="BD143">
        <f t="shared" si="144"/>
        <v>20.378563431771521</v>
      </c>
      <c r="BE143" s="43">
        <f t="shared" si="145"/>
        <v>109.93444993919397</v>
      </c>
      <c r="BF143" s="41" t="str">
        <f t="shared" si="146"/>
        <v>56,5785024151189+29,2411967547509i</v>
      </c>
      <c r="BG143" s="20">
        <f t="shared" si="147"/>
        <v>36.081166329196478</v>
      </c>
      <c r="BH143" s="43">
        <f t="shared" si="148"/>
        <v>27.331061026669083</v>
      </c>
      <c r="BI143" s="41" t="str">
        <f t="shared" si="152"/>
        <v>178,620487162167+93,3872951813184i</v>
      </c>
      <c r="BJ143" s="20">
        <f t="shared" si="149"/>
        <v>46.088090386163998</v>
      </c>
      <c r="BK143" s="43">
        <f t="shared" si="153"/>
        <v>27.60170322439939</v>
      </c>
      <c r="BL143">
        <f t="shared" si="150"/>
        <v>36.081166329196478</v>
      </c>
      <c r="BM143" s="43">
        <f t="shared" si="151"/>
        <v>27.331061026669083</v>
      </c>
    </row>
    <row r="144" spans="14:65" x14ac:dyDescent="0.25">
      <c r="N144" s="9">
        <v>26</v>
      </c>
      <c r="O144" s="34">
        <f t="shared" si="154"/>
        <v>181.9700858609983</v>
      </c>
      <c r="P144" s="33" t="str">
        <f t="shared" si="103"/>
        <v>54,631621870174</v>
      </c>
      <c r="Q144" s="4" t="str">
        <f t="shared" si="104"/>
        <v>1+9,11394311762832i</v>
      </c>
      <c r="R144" s="4">
        <f t="shared" si="117"/>
        <v>9.1686399837361172</v>
      </c>
      <c r="S144" s="4">
        <f t="shared" si="118"/>
        <v>1.4615114919659344</v>
      </c>
      <c r="T144" s="4" t="str">
        <f t="shared" si="105"/>
        <v>1+0,0228670353965606i</v>
      </c>
      <c r="U144" s="4">
        <f t="shared" si="119"/>
        <v>1.0002614164846246</v>
      </c>
      <c r="V144" s="4">
        <f t="shared" si="120"/>
        <v>2.2863050912342787E-2</v>
      </c>
      <c r="W144" t="str">
        <f t="shared" si="106"/>
        <v>1-0,00454978410886112i</v>
      </c>
      <c r="X144" s="4">
        <f t="shared" si="121"/>
        <v>1.0000103502141553</v>
      </c>
      <c r="Y144" s="4">
        <f t="shared" si="122"/>
        <v>-4.5497527149286491E-3</v>
      </c>
      <c r="Z144" t="str">
        <f t="shared" si="107"/>
        <v>0,999999867547551+0,000625103537709717i</v>
      </c>
      <c r="AA144" s="4">
        <f t="shared" si="123"/>
        <v>1.0000000629247741</v>
      </c>
      <c r="AB144" s="4">
        <f t="shared" si="124"/>
        <v>6.2510353908554975E-4</v>
      </c>
      <c r="AC144" s="47" t="str">
        <f t="shared" si="125"/>
        <v>0,754746403280557-5,91216886898192i</v>
      </c>
      <c r="AD144" s="20">
        <f t="shared" si="126"/>
        <v>15.505143166566903</v>
      </c>
      <c r="AE144" s="43">
        <f t="shared" si="127"/>
        <v>-82.724981298388087</v>
      </c>
      <c r="AF144" t="str">
        <f t="shared" si="108"/>
        <v>171,265703090588</v>
      </c>
      <c r="AG144" t="str">
        <f t="shared" si="109"/>
        <v>1+9,02672252307806i</v>
      </c>
      <c r="AH144">
        <f t="shared" si="128"/>
        <v>9.0819446986118972</v>
      </c>
      <c r="AI144">
        <f t="shared" si="129"/>
        <v>1.4604640370265467</v>
      </c>
      <c r="AJ144" t="str">
        <f t="shared" si="110"/>
        <v>1+0,0228670353965606i</v>
      </c>
      <c r="AK144">
        <f t="shared" si="130"/>
        <v>1.0002614164846246</v>
      </c>
      <c r="AL144">
        <f t="shared" si="131"/>
        <v>2.2863050912342787E-2</v>
      </c>
      <c r="AM144" t="str">
        <f t="shared" si="111"/>
        <v>1-0,00143743397348919i</v>
      </c>
      <c r="AN144">
        <f t="shared" si="132"/>
        <v>1.0000010331076805</v>
      </c>
      <c r="AO144">
        <f t="shared" si="133"/>
        <v>-1.4374329834738538E-3</v>
      </c>
      <c r="AP144" s="41" t="str">
        <f t="shared" si="134"/>
        <v>2,47813468730679-18,6992784424598i</v>
      </c>
      <c r="AQ144">
        <f t="shared" si="135"/>
        <v>25.512110285486123</v>
      </c>
      <c r="AR144" s="43">
        <f t="shared" si="136"/>
        <v>-82.450827971475093</v>
      </c>
      <c r="AS144" t="str">
        <f t="shared" si="112"/>
        <v>-0,0000166666666666667</v>
      </c>
      <c r="AT144" t="str">
        <f t="shared" si="113"/>
        <v>1,74018139367827E-06i</v>
      </c>
      <c r="AU144">
        <f t="shared" si="137"/>
        <v>1.7401813936782699E-6</v>
      </c>
      <c r="AV144">
        <f t="shared" si="138"/>
        <v>1.5707963267948966</v>
      </c>
      <c r="AW144" t="str">
        <f t="shared" si="114"/>
        <v>1+0,00545383301507983i</v>
      </c>
      <c r="AX144">
        <f t="shared" si="139"/>
        <v>1.0000148720366895</v>
      </c>
      <c r="AY144">
        <f t="shared" si="140"/>
        <v>5.4537789425729479E-3</v>
      </c>
      <c r="AZ144" t="str">
        <f t="shared" si="115"/>
        <v>1+0,37730608404325i</v>
      </c>
      <c r="BA144">
        <f t="shared" si="141"/>
        <v>1.0688123694344354</v>
      </c>
      <c r="BB144">
        <f t="shared" si="142"/>
        <v>0.36079090815904935</v>
      </c>
      <c r="BC144" s="41" t="str">
        <f t="shared" si="143"/>
        <v>-3,56132596506976+9,59696848657392i</v>
      </c>
      <c r="BD144">
        <f t="shared" si="144"/>
        <v>20.202984826136582</v>
      </c>
      <c r="BE144" s="43">
        <f t="shared" si="145"/>
        <v>110.35931780839893</v>
      </c>
      <c r="BF144" s="41" t="str">
        <f t="shared" si="146"/>
        <v>54,0510003598768+28,2984379506209i</v>
      </c>
      <c r="BG144" s="20">
        <f t="shared" si="147"/>
        <v>35.708127992703488</v>
      </c>
      <c r="BH144" s="43">
        <f t="shared" si="148"/>
        <v>27.634336510010804</v>
      </c>
      <c r="BI144" s="41" t="str">
        <f t="shared" si="152"/>
        <v>170,630940527112+90,3768063447703i</v>
      </c>
      <c r="BJ144" s="20">
        <f t="shared" si="149"/>
        <v>45.715095111622702</v>
      </c>
      <c r="BK144" s="43">
        <f t="shared" si="153"/>
        <v>27.908489836923849</v>
      </c>
      <c r="BL144">
        <f t="shared" si="150"/>
        <v>35.708127992703488</v>
      </c>
      <c r="BM144" s="43">
        <f t="shared" si="151"/>
        <v>27.634336510010804</v>
      </c>
    </row>
    <row r="145" spans="14:65" x14ac:dyDescent="0.25">
      <c r="N145" s="9">
        <v>27</v>
      </c>
      <c r="O145" s="34">
        <f t="shared" si="154"/>
        <v>186.20871366628685</v>
      </c>
      <c r="P145" s="33" t="str">
        <f t="shared" si="103"/>
        <v>54,631621870174</v>
      </c>
      <c r="Q145" s="4" t="str">
        <f t="shared" si="104"/>
        <v>1+9,32623412431446i</v>
      </c>
      <c r="R145" s="4">
        <f t="shared" si="117"/>
        <v>9.3796931155303547</v>
      </c>
      <c r="S145" s="4">
        <f t="shared" si="118"/>
        <v>1.4639800224125457</v>
      </c>
      <c r="T145" s="4" t="str">
        <f t="shared" si="105"/>
        <v>1+0,0233996770755364i</v>
      </c>
      <c r="U145" s="4">
        <f t="shared" si="119"/>
        <v>1.0002737349782005</v>
      </c>
      <c r="V145" s="4">
        <f t="shared" si="120"/>
        <v>2.3395407686875893E-2</v>
      </c>
      <c r="W145" t="str">
        <f t="shared" si="106"/>
        <v>1-0,00465576219498792i</v>
      </c>
      <c r="X145" s="4">
        <f t="shared" si="121"/>
        <v>1.0000108380020769</v>
      </c>
      <c r="Y145" s="4">
        <f t="shared" si="122"/>
        <v>-4.6557285558029007E-3</v>
      </c>
      <c r="Z145" t="str">
        <f t="shared" si="107"/>
        <v>0,99999986130526+0,000639664069588261i</v>
      </c>
      <c r="AA145" s="4">
        <f t="shared" si="123"/>
        <v>1.0000000658903285</v>
      </c>
      <c r="AB145" s="4">
        <f t="shared" si="124"/>
        <v>6.396640710624919E-4</v>
      </c>
      <c r="AC145" s="47" t="str">
        <f t="shared" si="125"/>
        <v>0,725885528165672-5,78071787806267i</v>
      </c>
      <c r="AD145" s="20">
        <f t="shared" si="126"/>
        <v>15.307580159213101</v>
      </c>
      <c r="AE145" s="43">
        <f t="shared" si="127"/>
        <v>-82.842822103644707</v>
      </c>
      <c r="AF145" t="str">
        <f t="shared" si="108"/>
        <v>171,265703090588</v>
      </c>
      <c r="AG145" t="str">
        <f t="shared" si="109"/>
        <v>1+9,23698190112862i</v>
      </c>
      <c r="AH145">
        <f t="shared" si="128"/>
        <v>9.2909544526801824</v>
      </c>
      <c r="AI145">
        <f t="shared" si="129"/>
        <v>1.4629558568744141</v>
      </c>
      <c r="AJ145" t="str">
        <f t="shared" si="110"/>
        <v>1+0,0233996770755364i</v>
      </c>
      <c r="AK145">
        <f t="shared" si="130"/>
        <v>1.0002737349782005</v>
      </c>
      <c r="AL145">
        <f t="shared" si="131"/>
        <v>2.3395407686875893E-2</v>
      </c>
      <c r="AM145" t="str">
        <f t="shared" si="111"/>
        <v>1-0,00147091611193776i</v>
      </c>
      <c r="AN145">
        <f t="shared" si="132"/>
        <v>1.000001081796519</v>
      </c>
      <c r="AO145">
        <f t="shared" si="133"/>
        <v>-1.4709150511172768E-3</v>
      </c>
      <c r="AP145" s="41" t="str">
        <f t="shared" si="134"/>
        <v>2,38598288051424-18,2836360193766i</v>
      </c>
      <c r="AQ145">
        <f t="shared" si="135"/>
        <v>25.314588118017902</v>
      </c>
      <c r="AR145" s="43">
        <f t="shared" si="136"/>
        <v>-82.565015316854229</v>
      </c>
      <c r="AS145" t="str">
        <f t="shared" si="112"/>
        <v>-0,0000166666666666667</v>
      </c>
      <c r="AT145" t="str">
        <f t="shared" si="113"/>
        <v>1,78071542544833E-06i</v>
      </c>
      <c r="AU145">
        <f t="shared" si="137"/>
        <v>1.78071542544833E-6</v>
      </c>
      <c r="AV145">
        <f t="shared" si="138"/>
        <v>1.5707963267948966</v>
      </c>
      <c r="AW145" t="str">
        <f t="shared" si="114"/>
        <v>1+0,0055808691054006i</v>
      </c>
      <c r="AX145">
        <f t="shared" si="139"/>
        <v>1.0000155729287277</v>
      </c>
      <c r="AY145">
        <f t="shared" si="140"/>
        <v>5.5808111657143248E-3</v>
      </c>
      <c r="AZ145" t="str">
        <f t="shared" si="115"/>
        <v>1+0,386094671746351i</v>
      </c>
      <c r="BA145">
        <f t="shared" si="141"/>
        <v>1.0719464051672185</v>
      </c>
      <c r="BB145">
        <f t="shared" si="142"/>
        <v>0.36846185206157767</v>
      </c>
      <c r="BC145" s="41" t="str">
        <f t="shared" si="143"/>
        <v>-3,56132097293921+9,37940932114694i</v>
      </c>
      <c r="BD145">
        <f t="shared" si="144"/>
        <v>20.028410756451617</v>
      </c>
      <c r="BE145" s="43">
        <f t="shared" si="145"/>
        <v>110.79155210864718</v>
      </c>
      <c r="BF145" s="41" t="str">
        <f t="shared" si="146"/>
        <v>51,6346077930123+27,395369306752i</v>
      </c>
      <c r="BG145" s="20">
        <f t="shared" si="147"/>
        <v>35.335990915664716</v>
      </c>
      <c r="BH145" s="43">
        <f t="shared" si="148"/>
        <v>27.948730005002474</v>
      </c>
      <c r="BI145" s="41" t="str">
        <f t="shared" si="152"/>
        <v>162,99245523115+87,493006486985i</v>
      </c>
      <c r="BJ145" s="20">
        <f t="shared" si="149"/>
        <v>45.342998874469544</v>
      </c>
      <c r="BK145" s="43">
        <f t="shared" si="153"/>
        <v>28.226536791792906</v>
      </c>
      <c r="BL145">
        <f t="shared" si="150"/>
        <v>35.335990915664716</v>
      </c>
      <c r="BM145" s="43">
        <f t="shared" si="151"/>
        <v>27.948730005002474</v>
      </c>
    </row>
    <row r="146" spans="14:65" x14ac:dyDescent="0.25">
      <c r="N146" s="9">
        <v>28</v>
      </c>
      <c r="O146" s="34">
        <f t="shared" si="154"/>
        <v>190.54607179632498</v>
      </c>
      <c r="P146" s="33" t="str">
        <f t="shared" si="103"/>
        <v>54,631621870174</v>
      </c>
      <c r="Q146" s="4" t="str">
        <f t="shared" si="104"/>
        <v>1+9,5434700237807i</v>
      </c>
      <c r="R146" s="4">
        <f t="shared" si="117"/>
        <v>9.5957188420045316</v>
      </c>
      <c r="S146" s="4">
        <f t="shared" si="118"/>
        <v>1.4663936256197618</v>
      </c>
      <c r="T146" s="4" t="str">
        <f t="shared" si="105"/>
        <v>1+0,0239447255730292i</v>
      </c>
      <c r="U146" s="4">
        <f t="shared" si="119"/>
        <v>1.0002866338618983</v>
      </c>
      <c r="V146" s="4">
        <f t="shared" si="120"/>
        <v>2.3940150911455051E-2</v>
      </c>
      <c r="W146" t="str">
        <f t="shared" si="106"/>
        <v>1-0,00476420882785683i</v>
      </c>
      <c r="X146" s="4">
        <f t="shared" si="121"/>
        <v>1.0000113487784803</v>
      </c>
      <c r="Y146" s="4">
        <f t="shared" si="122"/>
        <v>-4.7641727828427625E-3</v>
      </c>
      <c r="Z146" t="str">
        <f t="shared" si="107"/>
        <v>0,999999854768778+0,000654563759823461i</v>
      </c>
      <c r="AA146" s="4">
        <f t="shared" si="123"/>
        <v>1.0000000689956439</v>
      </c>
      <c r="AB146" s="4">
        <f t="shared" si="124"/>
        <v>6.5456376140312787E-4</v>
      </c>
      <c r="AC146" s="47" t="str">
        <f t="shared" si="125"/>
        <v>0,698294725511457-5,65205629364959i</v>
      </c>
      <c r="AD146" s="20">
        <f t="shared" si="126"/>
        <v>15.109918873264887</v>
      </c>
      <c r="AE146" s="43">
        <f t="shared" si="127"/>
        <v>-82.956966979045205</v>
      </c>
      <c r="AF146" t="str">
        <f t="shared" si="108"/>
        <v>171,265703090588</v>
      </c>
      <c r="AG146" t="str">
        <f t="shared" si="109"/>
        <v>1+9,45213884924914i</v>
      </c>
      <c r="AH146">
        <f t="shared" si="128"/>
        <v>9.504889732421141</v>
      </c>
      <c r="AI146">
        <f t="shared" si="129"/>
        <v>1.4653922557542178</v>
      </c>
      <c r="AJ146" t="str">
        <f t="shared" si="110"/>
        <v>1+0,0239447255730292i</v>
      </c>
      <c r="AK146">
        <f t="shared" si="130"/>
        <v>1.0002866338618983</v>
      </c>
      <c r="AL146">
        <f t="shared" si="131"/>
        <v>2.3940150911455051E-2</v>
      </c>
      <c r="AM146" t="str">
        <f t="shared" si="111"/>
        <v>1-0,00150517814957878i</v>
      </c>
      <c r="AN146">
        <f t="shared" si="132"/>
        <v>1.0000011327799894</v>
      </c>
      <c r="AO146">
        <f t="shared" si="133"/>
        <v>-1.5051770128892224E-3</v>
      </c>
      <c r="AP146" s="41" t="str">
        <f t="shared" si="134"/>
        <v>2,2978846074981-17,8767995031126i</v>
      </c>
      <c r="AQ146">
        <f t="shared" si="135"/>
        <v>25.116965529920947</v>
      </c>
      <c r="AR146" s="43">
        <f t="shared" si="136"/>
        <v>-82.675362267998025</v>
      </c>
      <c r="AS146" t="str">
        <f t="shared" si="112"/>
        <v>-0,0000166666666666667</v>
      </c>
      <c r="AT146" t="str">
        <f t="shared" si="113"/>
        <v>1,82219361610752E-06i</v>
      </c>
      <c r="AU146">
        <f t="shared" si="137"/>
        <v>1.8221936161075201E-6</v>
      </c>
      <c r="AV146">
        <f t="shared" si="138"/>
        <v>1.5707963267948966</v>
      </c>
      <c r="AW146" t="str">
        <f t="shared" si="114"/>
        <v>1+0,00571086424639264i</v>
      </c>
      <c r="AX146">
        <f t="shared" si="139"/>
        <v>1.0000163068522636</v>
      </c>
      <c r="AY146">
        <f t="shared" si="140"/>
        <v>5.7108021629549335E-3</v>
      </c>
      <c r="AZ146" t="str">
        <f t="shared" si="115"/>
        <v>1+0,395087971954982i</v>
      </c>
      <c r="BA146">
        <f t="shared" si="141"/>
        <v>1.0752183525142698</v>
      </c>
      <c r="BB146">
        <f t="shared" si="142"/>
        <v>0.37626471102662218</v>
      </c>
      <c r="BC146" s="41" t="str">
        <f t="shared" si="143"/>
        <v>-3,56131574555184+9,16682324006652i</v>
      </c>
      <c r="BD146">
        <f t="shared" si="144"/>
        <v>19.85487630988731</v>
      </c>
      <c r="BE146" s="43">
        <f t="shared" si="145"/>
        <v>111.23117505996352</v>
      </c>
      <c r="BF146" s="41" t="str">
        <f t="shared" si="146"/>
        <v>49,3245529857916+26,529901391554i</v>
      </c>
      <c r="BG146" s="20">
        <f t="shared" si="147"/>
        <v>34.964795183152205</v>
      </c>
      <c r="BH146" s="43">
        <f t="shared" si="148"/>
        <v>28.274208080918346</v>
      </c>
      <c r="BI146" s="41" t="str">
        <f t="shared" si="152"/>
        <v>155,689968508998+84,7292295735129i</v>
      </c>
      <c r="BJ146" s="20">
        <f t="shared" si="149"/>
        <v>44.971841839808249</v>
      </c>
      <c r="BK146" s="43">
        <f t="shared" si="153"/>
        <v>28.555812791965486</v>
      </c>
      <c r="BL146">
        <f t="shared" si="150"/>
        <v>34.964795183152205</v>
      </c>
      <c r="BM146" s="43">
        <f t="shared" si="151"/>
        <v>28.274208080918346</v>
      </c>
    </row>
    <row r="147" spans="14:65" x14ac:dyDescent="0.25">
      <c r="N147" s="9">
        <v>29</v>
      </c>
      <c r="O147" s="34">
        <f t="shared" si="154"/>
        <v>194.98445997580458</v>
      </c>
      <c r="P147" s="33" t="str">
        <f t="shared" ref="P147:P210" si="155">COMPLEX(Adc,0)</f>
        <v>54,631621870174</v>
      </c>
      <c r="Q147" s="4" t="str">
        <f t="shared" ref="Q147:Q210" si="156">IMSUM(COMPLEX(1,0),IMDIV(COMPLEX(0,2*PI()*O147),COMPLEX(wp_lf,0)))</f>
        <v>1+9,76576599737617i</v>
      </c>
      <c r="R147" s="4">
        <f t="shared" si="117"/>
        <v>9.8168317452989164</v>
      </c>
      <c r="S147" s="4">
        <f t="shared" si="118"/>
        <v>1.4687534687674202</v>
      </c>
      <c r="T147" s="4" t="str">
        <f t="shared" ref="T147:T210" si="157">IMSUM(COMPLEX(1,0),IMDIV(COMPLEX(0,2*PI()*O147),COMPLEX(wz_esr,0)))</f>
        <v>1+0,0245024698809664i</v>
      </c>
      <c r="U147" s="4">
        <f t="shared" si="119"/>
        <v>1.0003001404729821</v>
      </c>
      <c r="V147" s="4">
        <f t="shared" si="120"/>
        <v>2.4497568122207478E-2</v>
      </c>
      <c r="W147" t="str">
        <f t="shared" ref="W147:W210" si="158">IMSUB(COMPLEX(1,0),IMDIV(COMPLEX(0,2*PI()*O147),COMPLEX(wz_rhp,0)))</f>
        <v>1-0,00487518150730798i</v>
      </c>
      <c r="X147" s="4">
        <f t="shared" si="121"/>
        <v>1.0000118836267544</v>
      </c>
      <c r="Y147" s="4">
        <f t="shared" si="122"/>
        <v>-4.8751428844043369E-3</v>
      </c>
      <c r="Z147" t="str">
        <f t="shared" ref="Z147:Z210" si="159">IMSUM(COMPLEX(1,0),IMDIV(COMPLEX(0,2*PI()*O147),COMPLEX(Q*(wsl/2),0)),IMDIV(IMPOWER(COMPLEX(0,2*PI()*O147),2),IMPOWER(COMPLEX(wsl/2,0),2)))</f>
        <v>0,999999847924241+0,000669810508428287i</v>
      </c>
      <c r="AA147" s="4">
        <f t="shared" si="123"/>
        <v>1.0000000722473086</v>
      </c>
      <c r="AB147" s="4">
        <f t="shared" si="124"/>
        <v>6.6981051012093048E-4</v>
      </c>
      <c r="AC147" s="47" t="str">
        <f t="shared" si="125"/>
        <v>0,671919333110906-5,52613389780427i</v>
      </c>
      <c r="AD147" s="20">
        <f t="shared" si="126"/>
        <v>14.912164112948025</v>
      </c>
      <c r="AE147" s="43">
        <f t="shared" si="127"/>
        <v>-83.067470070939265</v>
      </c>
      <c r="AF147" t="str">
        <f t="shared" ref="AF147:AF210" si="160">COMPLEX($B$72,0)</f>
        <v>171,265703090588</v>
      </c>
      <c r="AG147" t="str">
        <f t="shared" ref="AG147:AG210" si="161">IMSUM(COMPLEX(1,0),IMDIV(COMPLEX(0,2*PI()*O147),COMPLEX(wp_lf_DCM,0)))</f>
        <v>1+9,67230744650126i</v>
      </c>
      <c r="AH147">
        <f t="shared" si="128"/>
        <v>9.7238640128111484</v>
      </c>
      <c r="AI147">
        <f t="shared" si="129"/>
        <v>1.4677744097133787</v>
      </c>
      <c r="AJ147" t="str">
        <f t="shared" ref="AJ147:AJ210" si="162">IMSUM(COMPLEX(1,0),IMDIV(COMPLEX(0,2*PI()*O147),COMPLEX(wz1_dcm,0)))</f>
        <v>1+0,0245024698809664i</v>
      </c>
      <c r="AK147">
        <f t="shared" si="130"/>
        <v>1.0003001404729821</v>
      </c>
      <c r="AL147">
        <f t="shared" si="131"/>
        <v>2.4497568122207478E-2</v>
      </c>
      <c r="AM147" t="str">
        <f t="shared" ref="AM147:AM210" si="163">IMSUB(COMPLEX(1,0),IMDIV(COMPLEX(0,2*PI()*O147),COMPLEX(wz2_dcm,0)))</f>
        <v>1-0,00154023825259807i</v>
      </c>
      <c r="AN147">
        <f t="shared" si="132"/>
        <v>1.0000011861662339</v>
      </c>
      <c r="AO147">
        <f t="shared" si="133"/>
        <v>-1.5402370346133431E-3</v>
      </c>
      <c r="AP147" s="41" t="str">
        <f t="shared" si="134"/>
        <v>2,213665564173-17,4786111760525i</v>
      </c>
      <c r="AQ147">
        <f t="shared" si="135"/>
        <v>24.91924740147693</v>
      </c>
      <c r="AR147" s="43">
        <f t="shared" si="136"/>
        <v>-82.781920773678678</v>
      </c>
      <c r="AS147" t="str">
        <f t="shared" ref="AS147:AS210" si="164">COMPLEX(Adc_ea,0)</f>
        <v>-0,0000166666666666667</v>
      </c>
      <c r="AT147" t="str">
        <f t="shared" ref="AT147:AT210" si="165">COMPLEX(0,2*PI()*O147*wp0_ea)</f>
        <v>1,86463795794155E-06i</v>
      </c>
      <c r="AU147">
        <f t="shared" si="137"/>
        <v>1.86463795794155E-6</v>
      </c>
      <c r="AV147">
        <f t="shared" si="138"/>
        <v>1.5707963267948966</v>
      </c>
      <c r="AW147" t="str">
        <f t="shared" ref="AW147:AW210" si="166">IMSUM(COMPLEX(1,0),IMDIV(COMPLEX(0,2*PI()*O147),COMPLEX(wp1_ea,0)))</f>
        <v>1+0,00584388736320026i</v>
      </c>
      <c r="AX147">
        <f t="shared" si="139"/>
        <v>1.000017075363973</v>
      </c>
      <c r="AY147">
        <f t="shared" si="140"/>
        <v>5.8438208396595697E-3</v>
      </c>
      <c r="AZ147" t="str">
        <f t="shared" ref="AZ147:AZ210" si="167">IMSUM(COMPLEX(1,0),IMDIV(COMPLEX(0,2*PI()*O147),COMPLEX(wz_ea,0)))</f>
        <v>1+0,404290753035946i</v>
      </c>
      <c r="BA147">
        <f t="shared" si="141"/>
        <v>1.0786338641959896</v>
      </c>
      <c r="BB147">
        <f t="shared" si="142"/>
        <v>0.38419982061542862</v>
      </c>
      <c r="BC147" s="41" t="str">
        <f t="shared" si="143"/>
        <v>-3,56131027182169+8,95909752719077i</v>
      </c>
      <c r="BD147">
        <f t="shared" si="144"/>
        <v>19.682417283754045</v>
      </c>
      <c r="BE147" s="43">
        <f t="shared" si="145"/>
        <v>111.6782019406043</v>
      </c>
      <c r="BF147" s="41" t="str">
        <f t="shared" si="146"/>
        <v>47,1162593158999+25,700068249458i</v>
      </c>
      <c r="BG147" s="20">
        <f t="shared" si="147"/>
        <v>34.594581396702083</v>
      </c>
      <c r="BH147" s="43">
        <f t="shared" si="148"/>
        <v>28.610731869665052</v>
      </c>
      <c r="BI147" s="41" t="str">
        <f t="shared" si="152"/>
        <v>148,709032254034+82,0792032004628i</v>
      </c>
      <c r="BJ147" s="20">
        <f t="shared" si="149"/>
        <v>44.601664685230986</v>
      </c>
      <c r="BK147" s="43">
        <f t="shared" si="153"/>
        <v>28.896281166925551</v>
      </c>
      <c r="BL147">
        <f t="shared" si="150"/>
        <v>34.594581396702083</v>
      </c>
      <c r="BM147" s="43">
        <f t="shared" si="151"/>
        <v>28.610731869665052</v>
      </c>
    </row>
    <row r="148" spans="14:65" x14ac:dyDescent="0.25">
      <c r="N148" s="9">
        <v>30</v>
      </c>
      <c r="O148" s="34">
        <f t="shared" si="154"/>
        <v>199.52623149688802</v>
      </c>
      <c r="P148" s="33" t="str">
        <f t="shared" si="155"/>
        <v>54,631621870174</v>
      </c>
      <c r="Q148" s="4" t="str">
        <f t="shared" si="156"/>
        <v>1+9,99323990936873i</v>
      </c>
      <c r="R148" s="4">
        <f t="shared" ref="R148:R211" si="168">IMABS(Q148)</f>
        <v>10.043149102059569</v>
      </c>
      <c r="S148" s="4">
        <f t="shared" ref="S148:S211" si="169">IMARGUMENT(Q148)</f>
        <v>1.4710606978850438</v>
      </c>
      <c r="T148" s="4" t="str">
        <f t="shared" si="157"/>
        <v>1+0,0250732057227632i</v>
      </c>
      <c r="U148" s="4">
        <f t="shared" ref="U148:U211" si="170">IMABS(T148)</f>
        <v>1.0003142834355689</v>
      </c>
      <c r="V148" s="4">
        <f t="shared" ref="V148:V211" si="171">IMARGUMENT(T148)</f>
        <v>2.5067953482744845E-2</v>
      </c>
      <c r="W148" t="str">
        <f t="shared" si="158"/>
        <v>1-0,00498873907252498i</v>
      </c>
      <c r="X148" s="4">
        <f t="shared" ref="X148:X211" si="172">IMABS(W148)</f>
        <v>1.0000124436813442</v>
      </c>
      <c r="Y148" s="4">
        <f t="shared" ref="Y148:Y211" si="173">IMARGUMENT(W148)</f>
        <v>-4.9886976873659162E-3</v>
      </c>
      <c r="Z148" t="str">
        <f t="shared" si="159"/>
        <v>0,999999840757132+0,000685412399430676i</v>
      </c>
      <c r="AA148" s="4">
        <f t="shared" ref="AA148:AA211" si="174">IMABS(Z148)</f>
        <v>1.0000000756522205</v>
      </c>
      <c r="AB148" s="4">
        <f t="shared" ref="AB148:AB211" si="175">IMARGUMENT(Z148)</f>
        <v>6.8541240124437555E-4</v>
      </c>
      <c r="AC148" s="47" t="str">
        <f t="shared" ref="AC148:AC211" si="176">(IMDIV(IMPRODUCT(P148,T148,W148),IMPRODUCT(Q148,Z148)))</f>
        <v>0,64670693408976-5,40290076580524i</v>
      </c>
      <c r="AD148" s="20">
        <f t="shared" ref="AD148:AD211" si="177">20*LOG(IMABS(AC148))</f>
        <v>14.714320497722666</v>
      </c>
      <c r="AE148" s="43">
        <f t="shared" ref="AE148:AE211" si="178">(180/PI())*IMARGUMENT(AC148)</f>
        <v>-83.174384021360908</v>
      </c>
      <c r="AF148" t="str">
        <f t="shared" si="160"/>
        <v>171,265703090588</v>
      </c>
      <c r="AG148" t="str">
        <f t="shared" si="161"/>
        <v>1+9,89760442918971i</v>
      </c>
      <c r="AH148">
        <f t="shared" ref="AH148:AH211" si="179">IMABS(AG148)</f>
        <v>9.9479934377097265</v>
      </c>
      <c r="AI148">
        <f t="shared" ref="AI148:AI211" si="180">IMARGUMENT(AG148)</f>
        <v>1.4701034735991394</v>
      </c>
      <c r="AJ148" t="str">
        <f t="shared" si="162"/>
        <v>1+0,0250732057227632i</v>
      </c>
      <c r="AK148">
        <f t="shared" ref="AK148:AK211" si="181">IMABS(AJ148)</f>
        <v>1.0003142834355689</v>
      </c>
      <c r="AL148">
        <f t="shared" ref="AL148:AL211" si="182">IMARGUMENT(AJ148)</f>
        <v>2.5067953482744845E-2</v>
      </c>
      <c r="AM148" t="str">
        <f t="shared" si="163"/>
        <v>1-0,00157611501032636i</v>
      </c>
      <c r="AN148">
        <f t="shared" ref="AN148:AN211" si="183">IMABS(AM148)</f>
        <v>1.0000012420684916</v>
      </c>
      <c r="AO148">
        <f t="shared" ref="AO148:AO211" si="184">IMARGUMENT(AM148)</f>
        <v>-1.5761137052322993E-3</v>
      </c>
      <c r="AP148" s="41" t="str">
        <f t="shared" ref="AP148:AP211" si="185">(IMDIV(IMPRODUCT(AF148,AJ148,AM148),IMPRODUCT(AG148)))</f>
        <v>2,13315859272928-17,0889141741126i</v>
      </c>
      <c r="AQ148">
        <f t="shared" ref="AQ148:AQ211" si="186">20*LOG(IMABS(AP148))</f>
        <v>24.721438424339254</v>
      </c>
      <c r="AR148" s="43">
        <f t="shared" ref="AR148:AR211" si="187">(180/PI())*IMARGUMENT(AP148)</f>
        <v>-82.884741212503712</v>
      </c>
      <c r="AS148" t="str">
        <f t="shared" si="164"/>
        <v>-0,0000166666666666667</v>
      </c>
      <c r="AT148" t="str">
        <f t="shared" si="165"/>
        <v>1,90807095550228E-06i</v>
      </c>
      <c r="AU148">
        <f t="shared" ref="AU148:AU211" si="188">IMABS(AT148)</f>
        <v>1.9080709555022801E-6</v>
      </c>
      <c r="AV148">
        <f t="shared" ref="AV148:AV211" si="189">IMARGUMENT(AT148)</f>
        <v>1.5707963267948966</v>
      </c>
      <c r="AW148" t="str">
        <f t="shared" si="166"/>
        <v>1+0,00598000898644089i</v>
      </c>
      <c r="AX148">
        <f t="shared" ref="AX148:AX211" si="190">IMABS(AW148)</f>
        <v>1.0000178800938901</v>
      </c>
      <c r="AY148">
        <f t="shared" ref="AY148:AY211" si="191">IMARGUMENT(AW148)</f>
        <v>5.9799377052516221E-3</v>
      </c>
      <c r="AZ148" t="str">
        <f t="shared" si="167"/>
        <v>1+0,413707894425593i</v>
      </c>
      <c r="BA148">
        <f t="shared" ref="BA148:BA211" si="192">IMABS(AZ148)</f>
        <v>1.0821987903846768</v>
      </c>
      <c r="BB148">
        <f t="shared" ref="BB148:BB211" si="193">IMARGUMENT(AZ148)</f>
        <v>0.39226738995631483</v>
      </c>
      <c r="BC148" s="41" t="str">
        <f t="shared" ref="BC148:BC211" si="194">IMPRODUCT(AS148,IMDIV(AZ148,IMPRODUCT(AT148,AW148)))</f>
        <v>-3,56130454014064+8,75612204339583i</v>
      </c>
      <c r="BD148">
        <f t="shared" ref="BD148:BD211" si="195">20*LOG(IMABS(BC148))</f>
        <v>19.511070156722777</v>
      </c>
      <c r="BE148" s="43">
        <f t="shared" ref="BE148:BE211" si="196">(180/PI())*IMARGUMENT(BC148)</f>
        <v>112.1326406928472</v>
      </c>
      <c r="BF148" s="41" t="str">
        <f t="shared" ref="BF148:BF211" si="197">IMPRODUCT(AC148,BC148)</f>
        <v>45,0053381532332+24,9040198683918i</v>
      </c>
      <c r="BG148" s="20">
        <f t="shared" ref="BG148:BG211" si="198">20*LOG(IMABS(BF148))</f>
        <v>34.225390654445448</v>
      </c>
      <c r="BH148" s="43">
        <f t="shared" ref="BH148:BH211" si="199">(180/PI())*IMARGUMENT(BF148)</f>
        <v>28.958256671486271</v>
      </c>
      <c r="BI148" s="41" t="str">
        <f t="shared" si="152"/>
        <v>142,03579071652+79,537024610197i</v>
      </c>
      <c r="BJ148" s="20">
        <f t="shared" ref="BJ148:BJ211" si="200">20*LOG(IMABS(BI148))</f>
        <v>44.232508581062035</v>
      </c>
      <c r="BK148" s="43">
        <f t="shared" si="153"/>
        <v>29.247899480343495</v>
      </c>
      <c r="BL148">
        <f t="shared" ref="BL148:BL211" si="201">IF($B$31=0,BJ148,BG148)</f>
        <v>34.225390654445448</v>
      </c>
      <c r="BM148" s="43">
        <f t="shared" ref="BM148:BM211" si="202">IF($B$31=0,BK148,BH148)</f>
        <v>28.958256671486271</v>
      </c>
    </row>
    <row r="149" spans="14:65" x14ac:dyDescent="0.25">
      <c r="N149" s="9">
        <v>31</v>
      </c>
      <c r="O149" s="34">
        <f t="shared" si="154"/>
        <v>204.17379446695315</v>
      </c>
      <c r="P149" s="33" t="str">
        <f t="shared" si="155"/>
        <v>54,631621870174</v>
      </c>
      <c r="Q149" s="4" t="str">
        <f t="shared" si="156"/>
        <v>1+10,2260123694373i</v>
      </c>
      <c r="R149" s="4">
        <f t="shared" si="168"/>
        <v>10.274790945799563</v>
      </c>
      <c r="S149" s="4">
        <f t="shared" si="169"/>
        <v>1.4733164379855213</v>
      </c>
      <c r="T149" s="4" t="str">
        <f t="shared" si="157"/>
        <v>1+0,0256572357101172i</v>
      </c>
      <c r="U149" s="4">
        <f t="shared" si="170"/>
        <v>1.0003290927211328</v>
      </c>
      <c r="V149" s="4">
        <f t="shared" si="171"/>
        <v>2.5651607933533563E-2</v>
      </c>
      <c r="W149" t="str">
        <f t="shared" si="158"/>
        <v>1-0,00510494173323199i</v>
      </c>
      <c r="X149" s="4">
        <f t="shared" si="172"/>
        <v>1.0000130301301577</v>
      </c>
      <c r="Y149" s="4">
        <f t="shared" si="173"/>
        <v>-5.1048973882663095E-3</v>
      </c>
      <c r="Z149" t="str">
        <f t="shared" si="159"/>
        <v>0,999999833252247+0,000701377705159746i</v>
      </c>
      <c r="AA149" s="4">
        <f t="shared" si="174"/>
        <v>1.0000000792176005</v>
      </c>
      <c r="AB149" s="4">
        <f t="shared" si="175"/>
        <v>7.0137770710315987E-4</v>
      </c>
      <c r="AC149" s="47" t="str">
        <f t="shared" si="176"/>
        <v>0,622607274102533-5,28230731254938i</v>
      </c>
      <c r="AD149" s="20">
        <f t="shared" si="177"/>
        <v>14.516392470911402</v>
      </c>
      <c r="AE149" s="43">
        <f t="shared" si="178"/>
        <v>-83.277759969159092</v>
      </c>
      <c r="AF149" t="str">
        <f t="shared" si="160"/>
        <v>171,265703090588</v>
      </c>
      <c r="AG149" t="str">
        <f t="shared" si="161"/>
        <v>1+10,1281492527568i</v>
      </c>
      <c r="AH149">
        <f t="shared" si="179"/>
        <v>10.177396881625384</v>
      </c>
      <c r="AI149">
        <f t="shared" si="180"/>
        <v>1.4723805811839021</v>
      </c>
      <c r="AJ149" t="str">
        <f t="shared" si="162"/>
        <v>1+0,0256572357101172i</v>
      </c>
      <c r="AK149">
        <f t="shared" si="181"/>
        <v>1.0003290927211328</v>
      </c>
      <c r="AL149">
        <f t="shared" si="182"/>
        <v>2.5651607933533563E-2</v>
      </c>
      <c r="AM149" t="str">
        <f t="shared" si="163"/>
        <v>1-0,00161282744509546i</v>
      </c>
      <c r="AN149">
        <f t="shared" si="183"/>
        <v>1.0000013006053381</v>
      </c>
      <c r="AO149">
        <f t="shared" si="184"/>
        <v>-1.6128260466620767E-3</v>
      </c>
      <c r="AP149" s="41" t="str">
        <f t="shared" si="185"/>
        <v>2,05620341931029-16,7075526378974i</v>
      </c>
      <c r="AQ149">
        <f t="shared" si="186"/>
        <v>24.523543110269408</v>
      </c>
      <c r="AR149" s="43">
        <f t="shared" si="187"/>
        <v>-82.983872392103592</v>
      </c>
      <c r="AS149" t="str">
        <f t="shared" si="164"/>
        <v>-0,0000166666666666667</v>
      </c>
      <c r="AT149" t="str">
        <f t="shared" si="165"/>
        <v>1,95251563753993E-06i</v>
      </c>
      <c r="AU149">
        <f t="shared" si="188"/>
        <v>1.9525156375399299E-6</v>
      </c>
      <c r="AV149">
        <f t="shared" si="189"/>
        <v>1.5707963267948966</v>
      </c>
      <c r="AW149" t="str">
        <f t="shared" si="166"/>
        <v>1+0,00611930128960088i</v>
      </c>
      <c r="AX149">
        <f t="shared" si="190"/>
        <v>1.0000187227488657</v>
      </c>
      <c r="AY149">
        <f t="shared" si="191"/>
        <v>6.1192249105077121E-3</v>
      </c>
      <c r="AZ149" t="str">
        <f t="shared" si="167"/>
        <v>1+0,423344389216934i</v>
      </c>
      <c r="BA149">
        <f t="shared" si="192"/>
        <v>1.0859191829420176</v>
      </c>
      <c r="BB149">
        <f t="shared" si="193"/>
        <v>0.40046749487025302</v>
      </c>
      <c r="BC149" s="41" t="str">
        <f t="shared" si="194"/>
        <v>-3,56129853835354+8,5577891681778i</v>
      </c>
      <c r="BD149">
        <f t="shared" si="195"/>
        <v>19.340872055853552</v>
      </c>
      <c r="BE149" s="43">
        <f t="shared" si="196"/>
        <v>112.59449152697903</v>
      </c>
      <c r="BF149" s="41" t="str">
        <f t="shared" si="197"/>
        <v>42,9875819270918+24,1400150976597i</v>
      </c>
      <c r="BG149" s="20">
        <f t="shared" si="198"/>
        <v>33.857264526764951</v>
      </c>
      <c r="BH149" s="43">
        <f t="shared" si="199"/>
        <v>29.316731557819981</v>
      </c>
      <c r="BI149" s="41" t="str">
        <f t="shared" si="152"/>
        <v>135,656958759612+77,0971381381526i</v>
      </c>
      <c r="BJ149" s="20">
        <f t="shared" si="200"/>
        <v>43.864415166122981</v>
      </c>
      <c r="BK149" s="43">
        <f t="shared" si="153"/>
        <v>29.610619134875346</v>
      </c>
      <c r="BL149">
        <f t="shared" si="201"/>
        <v>33.857264526764951</v>
      </c>
      <c r="BM149" s="43">
        <f t="shared" si="202"/>
        <v>29.316731557819981</v>
      </c>
    </row>
    <row r="150" spans="14:65" x14ac:dyDescent="0.25">
      <c r="N150" s="9">
        <v>32</v>
      </c>
      <c r="O150" s="34">
        <f t="shared" si="154"/>
        <v>208.92961308540396</v>
      </c>
      <c r="P150" s="33" t="str">
        <f t="shared" si="155"/>
        <v>54,631621870174</v>
      </c>
      <c r="Q150" s="4" t="str">
        <f t="shared" si="156"/>
        <v>1+10,4642067966216i</v>
      </c>
      <c r="R150" s="4">
        <f t="shared" si="168"/>
        <v>10.511880130712187</v>
      </c>
      <c r="S150" s="4">
        <f t="shared" si="169"/>
        <v>1.4755217932174971</v>
      </c>
      <c r="T150" s="4" t="str">
        <f t="shared" si="157"/>
        <v>1+0,0262548695034586i</v>
      </c>
      <c r="U150" s="4">
        <f t="shared" si="170"/>
        <v>1.0003445997118412</v>
      </c>
      <c r="V150" s="4">
        <f t="shared" si="171"/>
        <v>2.6248839344391425E-2</v>
      </c>
      <c r="W150" t="str">
        <f t="shared" si="158"/>
        <v>1-0,00522385110161789i</v>
      </c>
      <c r="X150" s="4">
        <f t="shared" si="172"/>
        <v>1.0000136442170835</v>
      </c>
      <c r="Y150" s="4">
        <f t="shared" si="173"/>
        <v>-5.2238035851660883E-3</v>
      </c>
      <c r="Z150" t="str">
        <f t="shared" si="159"/>
        <v>0,999999825393667+0,000717714890631929i</v>
      </c>
      <c r="AA150" s="4">
        <f t="shared" si="174"/>
        <v>1.0000000829510109</v>
      </c>
      <c r="AB150" s="4">
        <f t="shared" si="175"/>
        <v>7.1771489271433469E-4</v>
      </c>
      <c r="AC150" s="47" t="str">
        <f t="shared" si="176"/>
        <v>0,599572180731412-5,16430433474217i</v>
      </c>
      <c r="AD150" s="20">
        <f t="shared" si="177"/>
        <v>14.318384308051282</v>
      </c>
      <c r="AE150" s="43">
        <f t="shared" si="178"/>
        <v>-83.377647552068538</v>
      </c>
      <c r="AF150" t="str">
        <f t="shared" si="160"/>
        <v>171,265703090588</v>
      </c>
      <c r="AG150" t="str">
        <f t="shared" si="161"/>
        <v>1+10,3640641551196i</v>
      </c>
      <c r="AH150">
        <f t="shared" si="179"/>
        <v>10.412196012918455</v>
      </c>
      <c r="AI150">
        <f t="shared" si="180"/>
        <v>1.474606845310023</v>
      </c>
      <c r="AJ150" t="str">
        <f t="shared" si="162"/>
        <v>1+0,0262548695034586i</v>
      </c>
      <c r="AK150">
        <f t="shared" si="181"/>
        <v>1.0003445997118412</v>
      </c>
      <c r="AL150">
        <f t="shared" si="182"/>
        <v>2.6248839344391425E-2</v>
      </c>
      <c r="AM150" t="str">
        <f t="shared" si="163"/>
        <v>1-0,00165039502232427i</v>
      </c>
      <c r="AN150">
        <f t="shared" si="183"/>
        <v>1.0000013619009374</v>
      </c>
      <c r="AO150">
        <f t="shared" si="184"/>
        <v>-1.6503935238760131E-3</v>
      </c>
      <c r="AP150" s="41" t="str">
        <f t="shared" si="185"/>
        <v>1,98264639854989-16,334371850302i</v>
      </c>
      <c r="AQ150">
        <f t="shared" si="186"/>
        <v>24.325565799594418</v>
      </c>
      <c r="AR150" s="43">
        <f t="shared" si="187"/>
        <v>-83.079361549268228</v>
      </c>
      <c r="AS150" t="str">
        <f t="shared" si="164"/>
        <v>-0,0000166666666666667</v>
      </c>
      <c r="AT150" t="str">
        <f t="shared" si="165"/>
        <v>1,99799556921319E-06i</v>
      </c>
      <c r="AU150">
        <f t="shared" si="188"/>
        <v>1.9979955692131898E-6</v>
      </c>
      <c r="AV150">
        <f t="shared" si="189"/>
        <v>1.5707963267948966</v>
      </c>
      <c r="AW150" t="str">
        <f t="shared" si="166"/>
        <v>1+0,0062618381273032i</v>
      </c>
      <c r="AX150">
        <f t="shared" si="190"/>
        <v>1.000019605116186</v>
      </c>
      <c r="AY150">
        <f t="shared" si="191"/>
        <v>6.2617562857170093E-3</v>
      </c>
      <c r="AZ150" t="str">
        <f t="shared" si="167"/>
        <v>1+0,433205346807067i</v>
      </c>
      <c r="BA150">
        <f t="shared" si="192"/>
        <v>1.089801299550625</v>
      </c>
      <c r="BB150">
        <f t="shared" si="193"/>
        <v>0.40880007099778731</v>
      </c>
      <c r="BC150" s="41" t="str">
        <f t="shared" si="194"/>
        <v>-3,56129225373267+8,36399374259i</v>
      </c>
      <c r="BD150">
        <f t="shared" si="195"/>
        <v>19.171860719260572</v>
      </c>
      <c r="BE150" s="43">
        <f t="shared" si="196"/>
        <v>113.06374652531052</v>
      </c>
      <c r="BF150" s="41" t="str">
        <f t="shared" si="197"/>
        <v>41,0589573778215+23,4064149911039i</v>
      </c>
      <c r="BG150" s="20">
        <f t="shared" si="198"/>
        <v>33.490245027311843</v>
      </c>
      <c r="BH150" s="43">
        <f t="shared" si="199"/>
        <v>29.686098973242004</v>
      </c>
      <c r="BI150" s="41" t="str">
        <f t="shared" si="152"/>
        <v>129,559800684017+74,7543140113094i</v>
      </c>
      <c r="BJ150" s="20">
        <f t="shared" si="200"/>
        <v>43.497426518854965</v>
      </c>
      <c r="BK150" s="43">
        <f t="shared" si="153"/>
        <v>29.984384976042406</v>
      </c>
      <c r="BL150">
        <f t="shared" si="201"/>
        <v>33.490245027311843</v>
      </c>
      <c r="BM150" s="43">
        <f t="shared" si="202"/>
        <v>29.686098973242004</v>
      </c>
    </row>
    <row r="151" spans="14:65" x14ac:dyDescent="0.25">
      <c r="N151" s="9">
        <v>33</v>
      </c>
      <c r="O151" s="34">
        <f t="shared" si="154"/>
        <v>213.79620895022339</v>
      </c>
      <c r="P151" s="33" t="str">
        <f t="shared" si="155"/>
        <v>54,631621870174</v>
      </c>
      <c r="Q151" s="4" t="str">
        <f t="shared" si="156"/>
        <v>1+10,7079494847595i</v>
      </c>
      <c r="R151" s="4">
        <f t="shared" si="168"/>
        <v>10.754542396967024</v>
      </c>
      <c r="S151" s="4">
        <f t="shared" si="169"/>
        <v>1.4776778470347161</v>
      </c>
      <c r="T151" s="4" t="str">
        <f t="shared" si="157"/>
        <v>1+0,0268664239761348i</v>
      </c>
      <c r="U151" s="4">
        <f t="shared" si="170"/>
        <v>1.0003608372668662</v>
      </c>
      <c r="V151" s="4">
        <f t="shared" si="171"/>
        <v>2.6859962670151689E-2</v>
      </c>
      <c r="W151" t="str">
        <f t="shared" si="158"/>
        <v>1-0,00534553022500367i</v>
      </c>
      <c r="X151" s="4">
        <f t="shared" si="172"/>
        <v>1.0000142872446305</v>
      </c>
      <c r="Y151" s="4">
        <f t="shared" si="173"/>
        <v>-5.3454793102475353E-3</v>
      </c>
      <c r="Z151" t="str">
        <f t="shared" si="159"/>
        <v>0,999999817164724+0,000734432618039199i</v>
      </c>
      <c r="AA151" s="4">
        <f t="shared" si="174"/>
        <v>1.0000000868603722</v>
      </c>
      <c r="AB151" s="4">
        <f t="shared" si="175"/>
        <v>7.3443262027053657E-4</v>
      </c>
      <c r="AC151" s="47" t="str">
        <f t="shared" si="176"/>
        <v>0,577555485113113-5,04884304914515i</v>
      </c>
      <c r="AD151" s="20">
        <f t="shared" si="177"/>
        <v>14.120300124982721</v>
      </c>
      <c r="AE151" s="43">
        <f t="shared" si="178"/>
        <v>-83.474094909618543</v>
      </c>
      <c r="AF151" t="str">
        <f t="shared" si="160"/>
        <v>171,265703090588</v>
      </c>
      <c r="AG151" t="str">
        <f t="shared" si="161"/>
        <v>1+10,605474221482i</v>
      </c>
      <c r="AH151">
        <f t="shared" si="179"/>
        <v>10.652515358473755</v>
      </c>
      <c r="AI151">
        <f t="shared" si="180"/>
        <v>1.4767833580522789</v>
      </c>
      <c r="AJ151" t="str">
        <f t="shared" si="162"/>
        <v>1+0,0268664239761348i</v>
      </c>
      <c r="AK151">
        <f t="shared" si="181"/>
        <v>1.0003608372668662</v>
      </c>
      <c r="AL151">
        <f t="shared" si="182"/>
        <v>2.6859962670151689E-2</v>
      </c>
      <c r="AM151" t="str">
        <f t="shared" si="163"/>
        <v>1-0,00168883766083946i</v>
      </c>
      <c r="AN151">
        <f t="shared" si="183"/>
        <v>1.0000014260853054</v>
      </c>
      <c r="AO151">
        <f t="shared" si="184"/>
        <v>-1.6888360552233487E-3</v>
      </c>
      <c r="AP151" s="41" t="str">
        <f t="shared" si="185"/>
        <v>1,91234026506276-15,9692183614121i</v>
      </c>
      <c r="AQ151">
        <f t="shared" si="186"/>
        <v>24.127510669394788</v>
      </c>
      <c r="AR151" s="43">
        <f t="shared" si="187"/>
        <v>-83.171254350927853</v>
      </c>
      <c r="AS151" t="str">
        <f t="shared" si="164"/>
        <v>-0,0000166666666666667</v>
      </c>
      <c r="AT151" t="str">
        <f t="shared" si="165"/>
        <v>2,04453486458386E-06i</v>
      </c>
      <c r="AU151">
        <f t="shared" si="188"/>
        <v>2.0445348645838601E-6</v>
      </c>
      <c r="AV151">
        <f t="shared" si="189"/>
        <v>1.5707963267948966</v>
      </c>
      <c r="AW151" t="str">
        <f t="shared" si="166"/>
        <v>1+0,00640769507446579i</v>
      </c>
      <c r="AX151">
        <f t="shared" si="190"/>
        <v>1.0000205290673625</v>
      </c>
      <c r="AY151">
        <f t="shared" si="191"/>
        <v>6.4076073797234455E-3</v>
      </c>
      <c r="AZ151" t="str">
        <f t="shared" si="167"/>
        <v>1+0,443295995606224i</v>
      </c>
      <c r="BA151">
        <f t="shared" si="192"/>
        <v>1.0938516077240612</v>
      </c>
      <c r="BB151">
        <f t="shared" si="193"/>
        <v>0.41726490696197571</v>
      </c>
      <c r="BC151" s="41" t="str">
        <f t="shared" si="194"/>
        <v>-3,56128567295044+8,17463301348483i</v>
      </c>
      <c r="BD151">
        <f t="shared" si="195"/>
        <v>19.004074454256713</v>
      </c>
      <c r="BE151" s="43">
        <f t="shared" si="196"/>
        <v>113.54038924820509</v>
      </c>
      <c r="BF151" s="41" t="str">
        <f t="shared" si="197"/>
        <v>39,2155989949781+22,7016765516209i</v>
      </c>
      <c r="BG151" s="20">
        <f t="shared" si="198"/>
        <v>33.124374579239436</v>
      </c>
      <c r="BH151" s="43">
        <f t="shared" si="199"/>
        <v>30.066294338586509</v>
      </c>
      <c r="BI151" s="41" t="str">
        <f t="shared" si="152"/>
        <v>123,732109628973+72,5036284225124i</v>
      </c>
      <c r="BJ151" s="20">
        <f t="shared" si="200"/>
        <v>43.13158512365149</v>
      </c>
      <c r="BK151" s="43">
        <f t="shared" si="153"/>
        <v>30.369134897277299</v>
      </c>
      <c r="BL151">
        <f t="shared" si="201"/>
        <v>33.124374579239436</v>
      </c>
      <c r="BM151" s="43">
        <f t="shared" si="202"/>
        <v>30.066294338586509</v>
      </c>
    </row>
    <row r="152" spans="14:65" x14ac:dyDescent="0.25">
      <c r="N152" s="9">
        <v>34</v>
      </c>
      <c r="O152" s="34">
        <f t="shared" si="154"/>
        <v>218.77616239495524</v>
      </c>
      <c r="P152" s="33" t="str">
        <f t="shared" si="155"/>
        <v>54,631621870174</v>
      </c>
      <c r="Q152" s="4" t="str">
        <f t="shared" si="156"/>
        <v>1+10,9573696694507i</v>
      </c>
      <c r="R152" s="4">
        <f t="shared" si="168"/>
        <v>11.002906437528138</v>
      </c>
      <c r="S152" s="4">
        <f t="shared" si="169"/>
        <v>1.4797856623807504</v>
      </c>
      <c r="T152" s="4" t="str">
        <f t="shared" si="157"/>
        <v>1+0,0274922233824224i</v>
      </c>
      <c r="U152" s="4">
        <f t="shared" si="170"/>
        <v>1.0003778397918004</v>
      </c>
      <c r="V152" s="4">
        <f t="shared" si="171"/>
        <v>2.7485300109547361E-2</v>
      </c>
      <c r="W152" t="str">
        <f t="shared" si="158"/>
        <v>1-0,00547004361927122i</v>
      </c>
      <c r="X152" s="4">
        <f t="shared" si="172"/>
        <v>1.000014960576689</v>
      </c>
      <c r="Y152" s="4">
        <f t="shared" si="173"/>
        <v>-5.4699890631711816E-3</v>
      </c>
      <c r="Z152" t="str">
        <f t="shared" si="159"/>
        <v>0,999999808547963+0,00075153975134192i</v>
      </c>
      <c r="AA152" s="4">
        <f t="shared" si="174"/>
        <v>1.0000000909539761</v>
      </c>
      <c r="AB152" s="4">
        <f t="shared" si="175"/>
        <v>7.5153975373284108E-4</v>
      </c>
      <c r="AC152" s="47" t="str">
        <f t="shared" si="176"/>
        <v>0,55651294580704-4,93587512713081i</v>
      </c>
      <c r="AD152" s="20">
        <f t="shared" si="177"/>
        <v>13.922143885680571</v>
      </c>
      <c r="AE152" s="43">
        <f t="shared" si="178"/>
        <v>-83.567148686788045</v>
      </c>
      <c r="AF152" t="str">
        <f t="shared" si="160"/>
        <v>171,265703090588</v>
      </c>
      <c r="AG152" t="str">
        <f t="shared" si="161"/>
        <v>1+10,8525074506567i</v>
      </c>
      <c r="AH152">
        <f t="shared" si="179"/>
        <v>10.898482369878808</v>
      </c>
      <c r="AI152">
        <f t="shared" si="180"/>
        <v>1.4789111908963604</v>
      </c>
      <c r="AJ152" t="str">
        <f t="shared" si="162"/>
        <v>1+0,0274922233824224i</v>
      </c>
      <c r="AK152">
        <f t="shared" si="181"/>
        <v>1.0003778397918004</v>
      </c>
      <c r="AL152">
        <f t="shared" si="182"/>
        <v>2.7485300109547361E-2</v>
      </c>
      <c r="AM152" t="str">
        <f t="shared" si="163"/>
        <v>1-0,00172817574343684i</v>
      </c>
      <c r="AN152">
        <f t="shared" si="183"/>
        <v>1.0000014932945851</v>
      </c>
      <c r="AO152">
        <f t="shared" si="184"/>
        <v>-1.7281740229883186E-3</v>
      </c>
      <c r="AP152" s="41" t="str">
        <f t="shared" si="185"/>
        <v>1,84514389194463-15,6119401015125i</v>
      </c>
      <c r="AQ152">
        <f t="shared" si="186"/>
        <v>23.929381741433005</v>
      </c>
      <c r="AR152" s="43">
        <f t="shared" si="187"/>
        <v>-83.259594895881705</v>
      </c>
      <c r="AS152" t="str">
        <f t="shared" si="164"/>
        <v>-0,0000166666666666667</v>
      </c>
      <c r="AT152" t="str">
        <f t="shared" si="165"/>
        <v>2,09215819940234E-06i</v>
      </c>
      <c r="AU152">
        <f t="shared" si="188"/>
        <v>2.09215819940234E-6</v>
      </c>
      <c r="AV152">
        <f t="shared" si="189"/>
        <v>1.5707963267948966</v>
      </c>
      <c r="AW152" t="str">
        <f t="shared" si="166"/>
        <v>1+0,00655694946637275i</v>
      </c>
      <c r="AX152">
        <f t="shared" si="190"/>
        <v>1.0000214965621013</v>
      </c>
      <c r="AY152">
        <f t="shared" si="191"/>
        <v>6.5568554998724528E-3</v>
      </c>
      <c r="AZ152" t="str">
        <f t="shared" si="167"/>
        <v>1+0,45362168580997i</v>
      </c>
      <c r="BA152">
        <f t="shared" si="192"/>
        <v>1.0980767886796803</v>
      </c>
      <c r="BB152">
        <f t="shared" si="193"/>
        <v>0.42586163760511986</v>
      </c>
      <c r="BC152" s="41" t="str">
        <f t="shared" si="194"/>
        <v>-3,56127878205162+7,98960657903203i</v>
      </c>
      <c r="BD152">
        <f t="shared" si="195"/>
        <v>18.837552090840948</v>
      </c>
      <c r="BE152" s="43">
        <f t="shared" si="196"/>
        <v>114.02439434428328</v>
      </c>
      <c r="BF152" s="41" t="str">
        <f t="shared" si="197"/>
        <v>37,4538026431652+22,0243468542437i</v>
      </c>
      <c r="BG152" s="20">
        <f t="shared" si="198"/>
        <v>32.759695976521513</v>
      </c>
      <c r="BH152" s="43">
        <f t="shared" si="199"/>
        <v>30.457245657495235</v>
      </c>
      <c r="BI152" s="41" t="str">
        <f t="shared" si="152"/>
        <v>118,162187554284+70,3404448085189i</v>
      </c>
      <c r="BJ152" s="20">
        <f t="shared" si="200"/>
        <v>42.76693383227397</v>
      </c>
      <c r="BK152" s="43">
        <f t="shared" si="153"/>
        <v>30.764799448401522</v>
      </c>
      <c r="BL152">
        <f t="shared" si="201"/>
        <v>32.759695976521513</v>
      </c>
      <c r="BM152" s="43">
        <f t="shared" si="202"/>
        <v>30.457245657495235</v>
      </c>
    </row>
    <row r="153" spans="14:65" x14ac:dyDescent="0.25">
      <c r="N153" s="9">
        <v>35</v>
      </c>
      <c r="O153" s="34">
        <f t="shared" si="154"/>
        <v>223.87211385683412</v>
      </c>
      <c r="P153" s="33" t="str">
        <f t="shared" si="155"/>
        <v>54,631621870174</v>
      </c>
      <c r="Q153" s="4" t="str">
        <f t="shared" si="156"/>
        <v>1+11,2125995965786i</v>
      </c>
      <c r="R153" s="4">
        <f t="shared" si="168"/>
        <v>11.257103966526854</v>
      </c>
      <c r="S153" s="4">
        <f t="shared" si="169"/>
        <v>1.4818462818875633</v>
      </c>
      <c r="T153" s="4" t="str">
        <f t="shared" si="157"/>
        <v>1+0,02813259952945i</v>
      </c>
      <c r="U153" s="4">
        <f t="shared" si="170"/>
        <v>1.0003956433113272</v>
      </c>
      <c r="V153" s="4">
        <f t="shared" si="171"/>
        <v>2.81251812673558E-2</v>
      </c>
      <c r="W153" t="str">
        <f t="shared" si="158"/>
        <v>1-0,00559745730307031i</v>
      </c>
      <c r="X153" s="4">
        <f t="shared" si="172"/>
        <v>1.0000156656414236</v>
      </c>
      <c r="Y153" s="4">
        <f t="shared" si="173"/>
        <v>-5.5973988452053597E-3</v>
      </c>
      <c r="Z153" t="str">
        <f t="shared" si="159"/>
        <v>0,999999799525107+0,000769045360968609i</v>
      </c>
      <c r="AA153" s="4">
        <f t="shared" si="174"/>
        <v>1.0000000952405064</v>
      </c>
      <c r="AB153" s="4">
        <f t="shared" si="175"/>
        <v>7.6904536353052631E-4</v>
      </c>
      <c r="AC153" s="47" t="str">
        <f t="shared" si="176"/>
        <v>0,536402174909655-4,8253527257874i</v>
      </c>
      <c r="AD153" s="20">
        <f t="shared" si="177"/>
        <v>13.723919409841274</v>
      </c>
      <c r="AE153" s="43">
        <f t="shared" si="178"/>
        <v>-83.656854038316851</v>
      </c>
      <c r="AF153" t="str">
        <f t="shared" si="160"/>
        <v>171,265703090588</v>
      </c>
      <c r="AG153" t="str">
        <f t="shared" si="161"/>
        <v>1+11,1052948229317i</v>
      </c>
      <c r="AH153">
        <f t="shared" si="179"/>
        <v>11.150227491142664</v>
      </c>
      <c r="AI153">
        <f t="shared" si="180"/>
        <v>1.4809913949318303</v>
      </c>
      <c r="AJ153" t="str">
        <f t="shared" si="162"/>
        <v>1+0,02813259952945i</v>
      </c>
      <c r="AK153">
        <f t="shared" si="181"/>
        <v>1.0003956433113272</v>
      </c>
      <c r="AL153">
        <f t="shared" si="182"/>
        <v>2.81251812673558E-2</v>
      </c>
      <c r="AM153" t="str">
        <f t="shared" si="163"/>
        <v>1-0,00176843012768851i</v>
      </c>
      <c r="AN153">
        <f t="shared" si="183"/>
        <v>1.0000015636713357</v>
      </c>
      <c r="AO153">
        <f t="shared" si="184"/>
        <v>-1.7684282841948613E-3</v>
      </c>
      <c r="AP153" s="41" t="str">
        <f t="shared" si="185"/>
        <v>1,78092205630797-15,2623864829697i</v>
      </c>
      <c r="AQ153">
        <f t="shared" si="186"/>
        <v>23.73118288983077</v>
      </c>
      <c r="AR153" s="43">
        <f t="shared" si="187"/>
        <v>-83.344425717182389</v>
      </c>
      <c r="AS153" t="str">
        <f t="shared" si="164"/>
        <v>-0,0000166666666666667</v>
      </c>
      <c r="AT153" t="str">
        <f t="shared" si="165"/>
        <v>2,14089082419114E-06i</v>
      </c>
      <c r="AU153">
        <f t="shared" si="188"/>
        <v>2.1408908241911401E-6</v>
      </c>
      <c r="AV153">
        <f t="shared" si="189"/>
        <v>1.5707963267948966</v>
      </c>
      <c r="AW153" t="str">
        <f t="shared" si="166"/>
        <v>1+0,00670968043967828i</v>
      </c>
      <c r="AX153">
        <f t="shared" si="190"/>
        <v>1.0000225096524591</v>
      </c>
      <c r="AY153">
        <f t="shared" si="191"/>
        <v>6.7095797528815707E-3</v>
      </c>
      <c r="AZ153" t="str">
        <f t="shared" si="167"/>
        <v>1+0,464187892235925i</v>
      </c>
      <c r="BA153">
        <f t="shared" si="192"/>
        <v>1.1024837410585384</v>
      </c>
      <c r="BB153">
        <f t="shared" si="193"/>
        <v>0.4345897373397371</v>
      </c>
      <c r="BC153" s="41" t="str">
        <f t="shared" si="194"/>
        <v>-3,56127156642331+7,80881633548258i</v>
      </c>
      <c r="BD153">
        <f t="shared" si="195"/>
        <v>18.672332930409475</v>
      </c>
      <c r="BE153" s="43">
        <f t="shared" si="196"/>
        <v>114.51572716711939</v>
      </c>
      <c r="BF153" s="41" t="str">
        <f t="shared" si="197"/>
        <v>35,7700193759207+21,3730575261328i</v>
      </c>
      <c r="BG153" s="20">
        <f t="shared" si="198"/>
        <v>32.396252340250754</v>
      </c>
      <c r="BH153" s="43">
        <f t="shared" si="199"/>
        <v>30.858873128802557</v>
      </c>
      <c r="BI153" s="41" t="str">
        <f t="shared" si="152"/>
        <v>112,838825805517+68,2603962630824i</v>
      </c>
      <c r="BJ153" s="20">
        <f t="shared" si="200"/>
        <v>42.403515820240266</v>
      </c>
      <c r="BK153" s="43">
        <f t="shared" si="153"/>
        <v>31.171301449936934</v>
      </c>
      <c r="BL153">
        <f t="shared" si="201"/>
        <v>32.396252340250754</v>
      </c>
      <c r="BM153" s="43">
        <f t="shared" si="202"/>
        <v>30.858873128802557</v>
      </c>
    </row>
    <row r="154" spans="14:65" x14ac:dyDescent="0.25">
      <c r="N154" s="9">
        <v>36</v>
      </c>
      <c r="O154" s="34">
        <f t="shared" si="154"/>
        <v>229.08676527677744</v>
      </c>
      <c r="P154" s="33" t="str">
        <f t="shared" si="155"/>
        <v>54,631621870174</v>
      </c>
      <c r="Q154" s="4" t="str">
        <f t="shared" si="156"/>
        <v>1+11,4737745924289i</v>
      </c>
      <c r="R154" s="4">
        <f t="shared" si="168"/>
        <v>11.517269789228131</v>
      </c>
      <c r="S154" s="4">
        <f t="shared" si="169"/>
        <v>1.4838607280865248</v>
      </c>
      <c r="T154" s="4" t="str">
        <f t="shared" si="157"/>
        <v>1+0,028787891953127i</v>
      </c>
      <c r="U154" s="4">
        <f t="shared" si="170"/>
        <v>1.000414285545296</v>
      </c>
      <c r="V154" s="4">
        <f t="shared" si="171"/>
        <v>2.8779943319852775E-2</v>
      </c>
      <c r="W154" t="str">
        <f t="shared" si="158"/>
        <v>1-0,00572783883282257i</v>
      </c>
      <c r="X154" s="4">
        <f t="shared" si="172"/>
        <v>1.0000164039343029</v>
      </c>
      <c r="Y154" s="4">
        <f t="shared" si="173"/>
        <v>-5.7277761941472273E-3</v>
      </c>
      <c r="Z154" t="str">
        <f t="shared" si="159"/>
        <v>0,999999790077016+0,0007869587286252i</v>
      </c>
      <c r="AA154" s="4">
        <f t="shared" si="174"/>
        <v>1.0000000997290535</v>
      </c>
      <c r="AB154" s="4">
        <f t="shared" si="175"/>
        <v>7.8695873137034399E-4</v>
      </c>
      <c r="AC154" s="47" t="str">
        <f t="shared" si="176"/>
        <v>0,517182566410468-4,71722851579895i</v>
      </c>
      <c r="AD154" s="20">
        <f t="shared" si="177"/>
        <v>13.525630380232339</v>
      </c>
      <c r="AE154" s="43">
        <f t="shared" si="178"/>
        <v>-83.743254633592642</v>
      </c>
      <c r="AF154" t="str">
        <f t="shared" si="160"/>
        <v>171,265703090588</v>
      </c>
      <c r="AG154" t="str">
        <f t="shared" si="161"/>
        <v>1+11,3639703695178i</v>
      </c>
      <c r="AH154">
        <f t="shared" si="179"/>
        <v>11.407884227992433</v>
      </c>
      <c r="AI154">
        <f t="shared" si="180"/>
        <v>1.4830250010581072</v>
      </c>
      <c r="AJ154" t="str">
        <f t="shared" si="162"/>
        <v>1+0,028787891953127i</v>
      </c>
      <c r="AK154">
        <f t="shared" si="181"/>
        <v>1.000414285545296</v>
      </c>
      <c r="AL154">
        <f t="shared" si="182"/>
        <v>2.8779943319852775E-2</v>
      </c>
      <c r="AM154" t="str">
        <f t="shared" si="163"/>
        <v>1-0,00180962215700181i</v>
      </c>
      <c r="AN154">
        <f t="shared" si="183"/>
        <v>1.000001637364835</v>
      </c>
      <c r="AO154">
        <f t="shared" si="184"/>
        <v>-1.809620181662951E-3</v>
      </c>
      <c r="AP154" s="41" t="str">
        <f t="shared" si="185"/>
        <v>1,71954521185105-14,9204084917205i</v>
      </c>
      <c r="AQ154">
        <f t="shared" si="186"/>
        <v>23.532917848506184</v>
      </c>
      <c r="AR154" s="43">
        <f t="shared" si="187"/>
        <v>-83.425787785091657</v>
      </c>
      <c r="AS154" t="str">
        <f t="shared" si="164"/>
        <v>-0,0000166666666666667</v>
      </c>
      <c r="AT154" t="str">
        <f t="shared" si="165"/>
        <v>2,19075857763296E-06i</v>
      </c>
      <c r="AU154">
        <f t="shared" si="188"/>
        <v>2.19075857763296E-6</v>
      </c>
      <c r="AV154">
        <f t="shared" si="189"/>
        <v>1.5707963267948966</v>
      </c>
      <c r="AW154" t="str">
        <f t="shared" si="166"/>
        <v>1+0,00686596897436603i</v>
      </c>
      <c r="AX154">
        <f t="shared" si="190"/>
        <v>1.0000235704871945</v>
      </c>
      <c r="AY154">
        <f t="shared" si="191"/>
        <v>6.8658610866569126E-3</v>
      </c>
      <c r="AZ154" t="str">
        <f t="shared" si="167"/>
        <v>1+0,475000217226596i</v>
      </c>
      <c r="BA154">
        <f t="shared" si="192"/>
        <v>1.1070795844767951</v>
      </c>
      <c r="BB154">
        <f t="shared" si="193"/>
        <v>0.44344851365712951</v>
      </c>
      <c r="BC154" s="41" t="str">
        <f t="shared" si="194"/>
        <v>-3,56126401076424+7,6321664251517i</v>
      </c>
      <c r="BD154">
        <f t="shared" si="195"/>
        <v>18.50845668960039</v>
      </c>
      <c r="BE154" s="43">
        <f t="shared" si="196"/>
        <v>115.01434340091438</v>
      </c>
      <c r="BF154" s="41" t="str">
        <f t="shared" si="197"/>
        <v>34,1608494372966+20,7465195628974i</v>
      </c>
      <c r="BG154" s="20">
        <f t="shared" si="198"/>
        <v>32.034087069832722</v>
      </c>
      <c r="BH154" s="43">
        <f t="shared" si="199"/>
        <v>31.271088767321789</v>
      </c>
      <c r="BI154" s="41" t="str">
        <f t="shared" si="152"/>
        <v>107,75128626221+66,2593690198853i</v>
      </c>
      <c r="BJ154" s="20">
        <f t="shared" si="200"/>
        <v>42.041374538106552</v>
      </c>
      <c r="BK154" s="43">
        <f t="shared" si="153"/>
        <v>31.588555615822813</v>
      </c>
      <c r="BL154">
        <f t="shared" si="201"/>
        <v>32.034087069832722</v>
      </c>
      <c r="BM154" s="43">
        <f t="shared" si="202"/>
        <v>31.271088767321789</v>
      </c>
    </row>
    <row r="155" spans="14:65" x14ac:dyDescent="0.25">
      <c r="N155" s="9">
        <v>37</v>
      </c>
      <c r="O155" s="34">
        <f t="shared" si="154"/>
        <v>234.42288153199232</v>
      </c>
      <c r="P155" s="33" t="str">
        <f t="shared" si="155"/>
        <v>54,631621870174</v>
      </c>
      <c r="Q155" s="4" t="str">
        <f t="shared" si="156"/>
        <v>1+11,7410331354414i</v>
      </c>
      <c r="R155" s="4">
        <f t="shared" si="168"/>
        <v>11.783541873627511</v>
      </c>
      <c r="S155" s="4">
        <f t="shared" si="169"/>
        <v>1.4858300036305543</v>
      </c>
      <c r="T155" s="4" t="str">
        <f t="shared" si="157"/>
        <v>1+0,0294584480981702i</v>
      </c>
      <c r="U155" s="4">
        <f t="shared" si="170"/>
        <v>1.0004338059883584</v>
      </c>
      <c r="V155" s="4">
        <f t="shared" si="171"/>
        <v>2.9449931183618105E-2</v>
      </c>
      <c r="W155" t="str">
        <f t="shared" si="158"/>
        <v>1-0,00586125733854088i</v>
      </c>
      <c r="X155" s="4">
        <f t="shared" si="172"/>
        <v>1.0000171770212694</v>
      </c>
      <c r="Y155" s="4">
        <f t="shared" si="173"/>
        <v>-5.8611902200532608E-3</v>
      </c>
      <c r="Z155" t="str">
        <f t="shared" si="159"/>
        <v>0,99999978018365+0,000805289352216335i</v>
      </c>
      <c r="AA155" s="4">
        <f t="shared" si="174"/>
        <v>1.0000001044291391</v>
      </c>
      <c r="AB155" s="4">
        <f t="shared" si="175"/>
        <v>8.0528935515780979E-4</v>
      </c>
      <c r="AC155" s="47" t="str">
        <f t="shared" si="176"/>
        <v>0,498815226778248-4,6114557063164i</v>
      </c>
      <c r="AD155" s="20">
        <f t="shared" si="177"/>
        <v>13.327280349814838</v>
      </c>
      <c r="AE155" s="43">
        <f t="shared" si="178"/>
        <v>-83.826392662036298</v>
      </c>
      <c r="AF155" t="str">
        <f t="shared" si="160"/>
        <v>171,265703090588</v>
      </c>
      <c r="AG155" t="str">
        <f t="shared" si="161"/>
        <v>1+11,6286712436136i</v>
      </c>
      <c r="AH155">
        <f t="shared" si="179"/>
        <v>11.671589218784469</v>
      </c>
      <c r="AI155">
        <f t="shared" si="180"/>
        <v>1.4850130202021139</v>
      </c>
      <c r="AJ155" t="str">
        <f t="shared" si="162"/>
        <v>1+0,0294584480981702i</v>
      </c>
      <c r="AK155">
        <f t="shared" si="181"/>
        <v>1.0004338059883584</v>
      </c>
      <c r="AL155">
        <f t="shared" si="182"/>
        <v>2.9449931183618105E-2</v>
      </c>
      <c r="AM155" t="str">
        <f t="shared" si="163"/>
        <v>1-0,00185177367193592i</v>
      </c>
      <c r="AN155">
        <f t="shared" si="183"/>
        <v>1.0000017145313962</v>
      </c>
      <c r="AO155">
        <f t="shared" si="184"/>
        <v>-1.8517715553223941E-3</v>
      </c>
      <c r="AP155" s="41" t="str">
        <f t="shared" si="185"/>
        <v>1,66088926843318-14,5858587690534i</v>
      </c>
      <c r="AQ155">
        <f t="shared" si="186"/>
        <v>23.334590218378857</v>
      </c>
      <c r="AR155" s="43">
        <f t="shared" si="187"/>
        <v>-83.503720510527117</v>
      </c>
      <c r="AS155" t="str">
        <f t="shared" si="164"/>
        <v>-0,0000166666666666667</v>
      </c>
      <c r="AT155" t="str">
        <f t="shared" si="165"/>
        <v>2,24178790027076E-06i</v>
      </c>
      <c r="AU155">
        <f t="shared" si="188"/>
        <v>2.24178790027076E-6</v>
      </c>
      <c r="AV155">
        <f t="shared" si="189"/>
        <v>1.5707963267948966</v>
      </c>
      <c r="AW155" t="str">
        <f t="shared" si="166"/>
        <v>1+0,00702589793668579i</v>
      </c>
      <c r="AX155">
        <f t="shared" si="190"/>
        <v>1.0000246813163247</v>
      </c>
      <c r="AY155">
        <f t="shared" si="191"/>
        <v>7.0257823330767697E-3</v>
      </c>
      <c r="AZ155" t="str">
        <f t="shared" si="167"/>
        <v>1+0,486064393619808i</v>
      </c>
      <c r="BA155">
        <f t="shared" si="192"/>
        <v>1.1118716628932459</v>
      </c>
      <c r="BB155">
        <f t="shared" si="193"/>
        <v>0.45243710083939659</v>
      </c>
      <c r="BC155" s="41" t="str">
        <f t="shared" si="194"/>
        <v>-3,56125609905227+7,45956318559228i</v>
      </c>
      <c r="BD155">
        <f t="shared" si="195"/>
        <v>18.345963439206184</v>
      </c>
      <c r="BE155" s="43">
        <f t="shared" si="196"/>
        <v>115.52018869776929</v>
      </c>
      <c r="BF155" s="41" t="str">
        <f t="shared" si="197"/>
        <v>32,6230364501631+20,1435184617166i</v>
      </c>
      <c r="BG155" s="20">
        <f t="shared" si="198"/>
        <v>31.673243789021029</v>
      </c>
      <c r="BH155" s="43">
        <f t="shared" si="199"/>
        <v>31.693796035733065</v>
      </c>
      <c r="BI155" s="41" t="str">
        <f t="shared" si="152"/>
        <v>102,889283066821+64,3334869433559i</v>
      </c>
      <c r="BJ155" s="20">
        <f t="shared" si="200"/>
        <v>41.680553657585044</v>
      </c>
      <c r="BK155" s="43">
        <f t="shared" si="153"/>
        <v>32.016468187242189</v>
      </c>
      <c r="BL155">
        <f t="shared" si="201"/>
        <v>31.673243789021029</v>
      </c>
      <c r="BM155" s="43">
        <f t="shared" si="202"/>
        <v>31.693796035733065</v>
      </c>
    </row>
    <row r="156" spans="14:65" x14ac:dyDescent="0.25">
      <c r="N156" s="9">
        <v>38</v>
      </c>
      <c r="O156" s="34">
        <f t="shared" si="154"/>
        <v>239.88329190194912</v>
      </c>
      <c r="P156" s="33" t="str">
        <f t="shared" si="155"/>
        <v>54,631621870174</v>
      </c>
      <c r="Q156" s="4" t="str">
        <f t="shared" si="156"/>
        <v>1+12,0145169296334i</v>
      </c>
      <c r="R156" s="4">
        <f t="shared" si="168"/>
        <v>12.056061423717432</v>
      </c>
      <c r="S156" s="4">
        <f t="shared" si="169"/>
        <v>1.4877550915261679</v>
      </c>
      <c r="T156" s="4" t="str">
        <f t="shared" si="157"/>
        <v>1+0,030144623502324i</v>
      </c>
      <c r="U156" s="4">
        <f t="shared" si="170"/>
        <v>1.0004542459933372</v>
      </c>
      <c r="V156" s="4">
        <f t="shared" si="171"/>
        <v>3.0135497687735859E-2</v>
      </c>
      <c r="W156" t="str">
        <f t="shared" si="158"/>
        <v>1-0,00599778356048305i</v>
      </c>
      <c r="X156" s="4">
        <f t="shared" si="172"/>
        <v>1.0000179865420613</v>
      </c>
      <c r="Y156" s="4">
        <f t="shared" si="173"/>
        <v>-5.9977116417976907E-3</v>
      </c>
      <c r="Z156" t="str">
        <f t="shared" si="159"/>
        <v>0,999999769824025+0,000824046950881287i</v>
      </c>
      <c r="AA156" s="4">
        <f t="shared" si="174"/>
        <v>1.0000001093507342</v>
      </c>
      <c r="AB156" s="4">
        <f t="shared" si="175"/>
        <v>8.2404695403313314E-4</v>
      </c>
      <c r="AC156" s="47" t="str">
        <f t="shared" si="176"/>
        <v>0,48126290775928-4,50798806702381i</v>
      </c>
      <c r="AD156" s="20">
        <f t="shared" si="177"/>
        <v>13.128872748649403</v>
      </c>
      <c r="AE156" s="43">
        <f t="shared" si="178"/>
        <v>-83.906308838913603</v>
      </c>
      <c r="AF156" t="str">
        <f t="shared" si="160"/>
        <v>171,265703090588</v>
      </c>
      <c r="AG156" t="str">
        <f t="shared" si="161"/>
        <v>1+11,8995377931266i</v>
      </c>
      <c r="AH156">
        <f t="shared" si="179"/>
        <v>11.941482307069263</v>
      </c>
      <c r="AI156">
        <f t="shared" si="180"/>
        <v>1.4869564435463354</v>
      </c>
      <c r="AJ156" t="str">
        <f t="shared" si="162"/>
        <v>1+0,030144623502324i</v>
      </c>
      <c r="AK156">
        <f t="shared" si="181"/>
        <v>1.0004542459933372</v>
      </c>
      <c r="AL156">
        <f t="shared" si="182"/>
        <v>3.0135497687735859E-2</v>
      </c>
      <c r="AM156" t="str">
        <f t="shared" si="163"/>
        <v>1-0,00189490702178204i</v>
      </c>
      <c r="AN156">
        <f t="shared" si="183"/>
        <v>1.0000017953346989</v>
      </c>
      <c r="AO156">
        <f t="shared" si="184"/>
        <v>-1.8949047537900052E-3</v>
      </c>
      <c r="AP156" s="41" t="str">
        <f t="shared" si="185"/>
        <v>1,60483537860746-14,2585916843363i</v>
      </c>
      <c r="AQ156">
        <f t="shared" si="186"/>
        <v>23.136203474352666</v>
      </c>
      <c r="AR156" s="43">
        <f t="shared" si="187"/>
        <v>-83.578261748925797</v>
      </c>
      <c r="AS156" t="str">
        <f t="shared" si="164"/>
        <v>-0,0000166666666666667</v>
      </c>
      <c r="AT156" t="str">
        <f t="shared" si="165"/>
        <v>2,29400584852685E-06i</v>
      </c>
      <c r="AU156">
        <f t="shared" si="188"/>
        <v>2.2940058485268498E-6</v>
      </c>
      <c r="AV156">
        <f t="shared" si="189"/>
        <v>1.5707963267948966</v>
      </c>
      <c r="AW156" t="str">
        <f t="shared" si="166"/>
        <v>1+0,00718955212309041i</v>
      </c>
      <c r="AX156">
        <f t="shared" si="190"/>
        <v>1.0000258444958963</v>
      </c>
      <c r="AY156">
        <f t="shared" si="191"/>
        <v>7.189428251764488E-3</v>
      </c>
      <c r="AZ156" t="str">
        <f t="shared" si="167"/>
        <v>1+0,497386287788346i</v>
      </c>
      <c r="BA156">
        <f t="shared" si="192"/>
        <v>1.116867547778102</v>
      </c>
      <c r="BB156">
        <f t="shared" si="193"/>
        <v>0.4615544539232096</v>
      </c>
      <c r="BC156" s="41" t="str">
        <f t="shared" si="194"/>
        <v>-3,56124781451054+7,29091509993228i</v>
      </c>
      <c r="BD156">
        <f t="shared" si="195"/>
        <v>18.184893538121948</v>
      </c>
      <c r="BE156" s="43">
        <f t="shared" si="196"/>
        <v>116.03319832932708</v>
      </c>
      <c r="BF156" s="41" t="str">
        <f t="shared" si="197"/>
        <v>31,1534617897157+19,5629096527476i</v>
      </c>
      <c r="BG156" s="20">
        <f t="shared" si="198"/>
        <v>31.313766286771351</v>
      </c>
      <c r="BH156" s="43">
        <f t="shared" si="199"/>
        <v>32.126889490413532</v>
      </c>
      <c r="BI156" s="41" t="str">
        <f t="shared" si="152"/>
        <v>98,2429649303814+62,4790969686355i</v>
      </c>
      <c r="BJ156" s="20">
        <f t="shared" si="200"/>
        <v>41.321097012474617</v>
      </c>
      <c r="BK156" s="43">
        <f t="shared" si="153"/>
        <v>32.454936580401316</v>
      </c>
      <c r="BL156">
        <f t="shared" si="201"/>
        <v>31.313766286771351</v>
      </c>
      <c r="BM156" s="43">
        <f t="shared" si="202"/>
        <v>32.126889490413532</v>
      </c>
    </row>
    <row r="157" spans="14:65" x14ac:dyDescent="0.25">
      <c r="N157" s="9">
        <v>39</v>
      </c>
      <c r="O157" s="34">
        <f t="shared" si="154"/>
        <v>245.4708915685033</v>
      </c>
      <c r="P157" s="33" t="str">
        <f t="shared" si="155"/>
        <v>54,631621870174</v>
      </c>
      <c r="Q157" s="4" t="str">
        <f t="shared" si="156"/>
        <v>1+12,2943709797323i</v>
      </c>
      <c r="R157" s="4">
        <f t="shared" si="168"/>
        <v>12.334972954460977</v>
      </c>
      <c r="S157" s="4">
        <f t="shared" si="169"/>
        <v>1.4896369553742739</v>
      </c>
      <c r="T157" s="4" t="str">
        <f t="shared" si="157"/>
        <v>1+0,0308467819848698i</v>
      </c>
      <c r="U157" s="4">
        <f t="shared" si="170"/>
        <v>1.0004756488584927</v>
      </c>
      <c r="V157" s="4">
        <f t="shared" si="171"/>
        <v>3.083700374942781E-2</v>
      </c>
      <c r="W157" t="str">
        <f t="shared" si="158"/>
        <v>1-0,006137489886659i</v>
      </c>
      <c r="X157" s="4">
        <f t="shared" si="172"/>
        <v>1.0000188342136906</v>
      </c>
      <c r="Y157" s="4">
        <f t="shared" si="173"/>
        <v>-6.1374128244776173E-3</v>
      </c>
      <c r="Z157" t="str">
        <f t="shared" si="159"/>
        <v>0,999999758976166+0,000843241470147141i</v>
      </c>
      <c r="AA157" s="4">
        <f t="shared" si="174"/>
        <v>1.0000001145042769</v>
      </c>
      <c r="AB157" s="4">
        <f t="shared" si="175"/>
        <v>8.4324147352440426E-4</v>
      </c>
      <c r="AC157" s="47" t="str">
        <f t="shared" si="176"/>
        <v>0,464489941363612-4,40677994759117i</v>
      </c>
      <c r="AD157" s="20">
        <f t="shared" si="177"/>
        <v>12.930410890593866</v>
      </c>
      <c r="AE157" s="43">
        <f t="shared" si="178"/>
        <v>-83.983042411507711</v>
      </c>
      <c r="AF157" t="str">
        <f t="shared" si="160"/>
        <v>171,265703090588</v>
      </c>
      <c r="AG157" t="str">
        <f t="shared" si="161"/>
        <v>1+12,1767136350864i</v>
      </c>
      <c r="AH157">
        <f t="shared" si="179"/>
        <v>12.217706615846488</v>
      </c>
      <c r="AI157">
        <f t="shared" si="180"/>
        <v>1.488856242766089</v>
      </c>
      <c r="AJ157" t="str">
        <f t="shared" si="162"/>
        <v>1+0,0308467819848698i</v>
      </c>
      <c r="AK157">
        <f t="shared" si="181"/>
        <v>1.0004756488584927</v>
      </c>
      <c r="AL157">
        <f t="shared" si="182"/>
        <v>3.083700374942781E-2</v>
      </c>
      <c r="AM157" t="str">
        <f t="shared" si="163"/>
        <v>1-0,00193904507641315i</v>
      </c>
      <c r="AN157">
        <f t="shared" si="183"/>
        <v>1.000001879946137</v>
      </c>
      <c r="AO157">
        <f t="shared" si="184"/>
        <v>-1.9390426462161474E-3</v>
      </c>
      <c r="AP157" s="41" t="str">
        <f t="shared" si="185"/>
        <v>1,55126973104365-13,9384633993114i</v>
      </c>
      <c r="AQ157">
        <f t="shared" si="186"/>
        <v>22.937760972088096</v>
      </c>
      <c r="AR157" s="43">
        <f t="shared" si="187"/>
        <v>-83.649447804454738</v>
      </c>
      <c r="AS157" t="str">
        <f t="shared" si="164"/>
        <v>-0,0000166666666666667</v>
      </c>
      <c r="AT157" t="str">
        <f t="shared" si="165"/>
        <v>0,0000023474401090486i</v>
      </c>
      <c r="AU157">
        <f t="shared" si="188"/>
        <v>2.3474401090486001E-6</v>
      </c>
      <c r="AV157">
        <f t="shared" si="189"/>
        <v>1.5707963267948966</v>
      </c>
      <c r="AW157" t="str">
        <f t="shared" si="166"/>
        <v>1+0,00735701830519562i</v>
      </c>
      <c r="AX157">
        <f t="shared" si="190"/>
        <v>1.0000270624929823</v>
      </c>
      <c r="AY157">
        <f t="shared" si="191"/>
        <v>7.3568855748725242E-3</v>
      </c>
      <c r="AZ157" t="str">
        <f t="shared" si="167"/>
        <v>1+0,508971902750352i</v>
      </c>
      <c r="BA157">
        <f t="shared" si="192"/>
        <v>1.122075041068695</v>
      </c>
      <c r="BB157">
        <f t="shared" si="193"/>
        <v>0.4707993429657279</v>
      </c>
      <c r="BC157" s="41" t="str">
        <f t="shared" si="194"/>
        <v>-3,56123913957166+7,12613274834957i</v>
      </c>
      <c r="BD157">
        <f t="shared" si="195"/>
        <v>18.025287562330867</v>
      </c>
      <c r="BE157" s="43">
        <f t="shared" si="196"/>
        <v>116.55329685566755</v>
      </c>
      <c r="BF157" s="41" t="str">
        <f t="shared" si="197"/>
        <v>29,7491391401782+19,0036142112714i</v>
      </c>
      <c r="BG157" s="20">
        <f t="shared" si="198"/>
        <v>30.955698452924729</v>
      </c>
      <c r="BH157" s="43">
        <f t="shared" si="199"/>
        <v>32.570254444159801</v>
      </c>
      <c r="BI157" s="41" t="str">
        <f t="shared" si="152"/>
        <v>93,8028980092794+60,6927554350284i</v>
      </c>
      <c r="BJ157" s="20">
        <f t="shared" si="200"/>
        <v>40.963048534418967</v>
      </c>
      <c r="BK157" s="43">
        <f t="shared" si="153"/>
        <v>32.903849051212816</v>
      </c>
      <c r="BL157">
        <f t="shared" si="201"/>
        <v>30.955698452924729</v>
      </c>
      <c r="BM157" s="43">
        <f t="shared" si="202"/>
        <v>32.570254444159801</v>
      </c>
    </row>
    <row r="158" spans="14:65" x14ac:dyDescent="0.25">
      <c r="N158" s="9">
        <v>40</v>
      </c>
      <c r="O158" s="34">
        <f t="shared" si="154"/>
        <v>251.18864315095806</v>
      </c>
      <c r="P158" s="33" t="str">
        <f t="shared" si="155"/>
        <v>54,631621870174</v>
      </c>
      <c r="Q158" s="4" t="str">
        <f t="shared" si="156"/>
        <v>1+12,58074366806i</v>
      </c>
      <c r="R158" s="4">
        <f t="shared" si="168"/>
        <v>12.620424368515971</v>
      </c>
      <c r="S158" s="4">
        <f t="shared" si="169"/>
        <v>1.491476539618676</v>
      </c>
      <c r="T158" s="4" t="str">
        <f t="shared" si="157"/>
        <v>1+0,0315652958395296i</v>
      </c>
      <c r="U158" s="4">
        <f t="shared" si="170"/>
        <v>1.0004980599188771</v>
      </c>
      <c r="V158" s="4">
        <f t="shared" si="171"/>
        <v>3.1554818553164533E-2</v>
      </c>
      <c r="W158" t="str">
        <f t="shared" si="158"/>
        <v>1-0,00628045039121218i</v>
      </c>
      <c r="X158" s="4">
        <f t="shared" si="172"/>
        <v>1.0000197218340829</v>
      </c>
      <c r="Y158" s="4">
        <f t="shared" si="173"/>
        <v>-6.2803678176850761E-3</v>
      </c>
      <c r="Z158" t="str">
        <f t="shared" si="159"/>
        <v>0,999999747617062+0,000862883087202094i</v>
      </c>
      <c r="AA158" s="4">
        <f t="shared" si="174"/>
        <v>1.0000001199006976</v>
      </c>
      <c r="AB158" s="4">
        <f t="shared" si="175"/>
        <v>8.6288309082089675E-4</v>
      </c>
      <c r="AC158" s="47" t="str">
        <f t="shared" si="176"/>
        <v>0,448462177010435-4,30778629469584i</v>
      </c>
      <c r="AD158" s="20">
        <f t="shared" si="177"/>
        <v>12.731897979802993</v>
      </c>
      <c r="AE158" s="43">
        <f t="shared" si="178"/>
        <v>-84.056631165589607</v>
      </c>
      <c r="AF158" t="str">
        <f t="shared" si="160"/>
        <v>171,265703090588</v>
      </c>
      <c r="AG158" t="str">
        <f t="shared" si="161"/>
        <v>1+12,4603457317935i</v>
      </c>
      <c r="AH158">
        <f t="shared" si="179"/>
        <v>12.500408623554055</v>
      </c>
      <c r="AI158">
        <f t="shared" si="180"/>
        <v>1.4907133702749402</v>
      </c>
      <c r="AJ158" t="str">
        <f t="shared" si="162"/>
        <v>1+0,0315652958395296i</v>
      </c>
      <c r="AK158">
        <f t="shared" si="181"/>
        <v>1.0004980599188771</v>
      </c>
      <c r="AL158">
        <f t="shared" si="182"/>
        <v>3.1554818553164533E-2</v>
      </c>
      <c r="AM158" t="str">
        <f t="shared" si="163"/>
        <v>1-0,00198421123841008i</v>
      </c>
      <c r="AN158">
        <f t="shared" si="183"/>
        <v>1.0000019685451818</v>
      </c>
      <c r="AO158">
        <f t="shared" si="184"/>
        <v>-1.9842086344073529E-3</v>
      </c>
      <c r="AP158" s="41" t="str">
        <f t="shared" si="185"/>
        <v>1,50008335075593-13,6253319245332i</v>
      </c>
      <c r="AQ158">
        <f t="shared" si="186"/>
        <v>22.7392659545696</v>
      </c>
      <c r="AR158" s="43">
        <f t="shared" si="187"/>
        <v>-83.71731343450432</v>
      </c>
      <c r="AS158" t="str">
        <f t="shared" si="164"/>
        <v>-0,0000166666666666667</v>
      </c>
      <c r="AT158" t="str">
        <f t="shared" si="165"/>
        <v>0,0000024021190133882i</v>
      </c>
      <c r="AU158">
        <f t="shared" si="188"/>
        <v>2.4021190133881999E-6</v>
      </c>
      <c r="AV158">
        <f t="shared" si="189"/>
        <v>1.5707963267948966</v>
      </c>
      <c r="AW158" t="str">
        <f t="shared" si="166"/>
        <v>1+0,00752838527578794i</v>
      </c>
      <c r="AX158">
        <f t="shared" si="190"/>
        <v>1.0000283378909123</v>
      </c>
      <c r="AY158">
        <f t="shared" si="191"/>
        <v>7.5282430529020174E-3</v>
      </c>
      <c r="AZ158" t="str">
        <f t="shared" si="167"/>
        <v>1+0,520827381352238i</v>
      </c>
      <c r="BA158">
        <f t="shared" si="192"/>
        <v>1.1275021778986636</v>
      </c>
      <c r="BB158">
        <f t="shared" si="193"/>
        <v>0.48017034766502109</v>
      </c>
      <c r="BC158" s="41" t="str">
        <f t="shared" si="194"/>
        <v>-3,56123005584082+6,96512876065868i</v>
      </c>
      <c r="BD158">
        <f t="shared" si="195"/>
        <v>17.867186228967856</v>
      </c>
      <c r="BE158" s="43">
        <f t="shared" si="196"/>
        <v>117.08039781445518</v>
      </c>
      <c r="BF158" s="41" t="str">
        <f t="shared" si="197"/>
        <v>28,4072092322799+18,464614833973i</v>
      </c>
      <c r="BG158" s="20">
        <f t="shared" si="198"/>
        <v>30.599084208770847</v>
      </c>
      <c r="BH158" s="43">
        <f t="shared" si="199"/>
        <v>33.023766648865625</v>
      </c>
      <c r="BI158" s="41" t="str">
        <f t="shared" si="152"/>
        <v>89,5600493461086+58,9712152601904i</v>
      </c>
      <c r="BJ158" s="20">
        <f t="shared" si="200"/>
        <v>40.606452183537449</v>
      </c>
      <c r="BK158" s="43">
        <f t="shared" si="153"/>
        <v>33.363084379950848</v>
      </c>
      <c r="BL158">
        <f t="shared" si="201"/>
        <v>30.599084208770847</v>
      </c>
      <c r="BM158" s="43">
        <f t="shared" si="202"/>
        <v>33.023766648865625</v>
      </c>
    </row>
    <row r="159" spans="14:65" x14ac:dyDescent="0.25">
      <c r="N159" s="9">
        <v>41</v>
      </c>
      <c r="O159" s="34">
        <f t="shared" si="154"/>
        <v>257.03957827688663</v>
      </c>
      <c r="P159" s="33" t="str">
        <f t="shared" si="155"/>
        <v>54,631621870174</v>
      </c>
      <c r="Q159" s="4" t="str">
        <f t="shared" si="156"/>
        <v>1+12,8737868332062i</v>
      </c>
      <c r="R159" s="4">
        <f t="shared" si="168"/>
        <v>12.912567034746937</v>
      </c>
      <c r="S159" s="4">
        <f t="shared" si="169"/>
        <v>1.4932747698012627</v>
      </c>
      <c r="T159" s="4" t="str">
        <f t="shared" si="157"/>
        <v>1+0,0323005460318594i</v>
      </c>
      <c r="U159" s="4">
        <f t="shared" si="170"/>
        <v>1.0005215266419589</v>
      </c>
      <c r="V159" s="4">
        <f t="shared" si="171"/>
        <v>3.2289319733284645E-2</v>
      </c>
      <c r="W159" t="str">
        <f t="shared" si="158"/>
        <v>1-0,00642674087369433i</v>
      </c>
      <c r="X159" s="4">
        <f t="shared" si="172"/>
        <v>1.0000206512858909</v>
      </c>
      <c r="Y159" s="4">
        <f t="shared" si="173"/>
        <v>-6.4266523946646193E-3</v>
      </c>
      <c r="Z159" t="str">
        <f t="shared" si="159"/>
        <v>0,999999735722621+0,000882982216291483i</v>
      </c>
      <c r="AA159" s="4">
        <f t="shared" si="174"/>
        <v>1.0000001255514452</v>
      </c>
      <c r="AB159" s="4">
        <f t="shared" si="175"/>
        <v>8.8298222016909903E-4</v>
      </c>
      <c r="AC159" s="47" t="str">
        <f t="shared" si="176"/>
        <v>0,433146920799377-4,21096266678385i</v>
      </c>
      <c r="AD159" s="20">
        <f t="shared" si="177"/>
        <v>12.533337117039947</v>
      </c>
      <c r="AE159" s="43">
        <f t="shared" si="178"/>
        <v>-84.127111432128928</v>
      </c>
      <c r="AF159" t="str">
        <f t="shared" si="160"/>
        <v>171,265703090588</v>
      </c>
      <c r="AG159" t="str">
        <f t="shared" si="161"/>
        <v>1+12,7505844687396i</v>
      </c>
      <c r="AH159">
        <f t="shared" si="179"/>
        <v>12.78973824182745</v>
      </c>
      <c r="AI159">
        <f t="shared" si="180"/>
        <v>1.4925287594772085</v>
      </c>
      <c r="AJ159" t="str">
        <f t="shared" si="162"/>
        <v>1+0,0323005460318594i</v>
      </c>
      <c r="AK159">
        <f t="shared" si="181"/>
        <v>1.0005215266419589</v>
      </c>
      <c r="AL159">
        <f t="shared" si="182"/>
        <v>3.2289319733284645E-2</v>
      </c>
      <c r="AM159" t="str">
        <f t="shared" si="163"/>
        <v>1-0,00203042945546975i</v>
      </c>
      <c r="AN159">
        <f t="shared" si="183"/>
        <v>1.0000020613197624</v>
      </c>
      <c r="AO159">
        <f t="shared" si="184"/>
        <v>-2.0304266652308675E-3</v>
      </c>
      <c r="AP159" s="41" t="str">
        <f t="shared" si="185"/>
        <v>1,45117190603772-13,3190571685064i</v>
      </c>
      <c r="AQ159">
        <f t="shared" si="186"/>
        <v>22.540721558481703</v>
      </c>
      <c r="AR159" s="43">
        <f t="shared" si="187"/>
        <v>-83.781891854403298</v>
      </c>
      <c r="AS159" t="str">
        <f t="shared" si="164"/>
        <v>-0,0000166666666666667</v>
      </c>
      <c r="AT159" t="str">
        <f t="shared" si="165"/>
        <v>0,0000024580715530245i</v>
      </c>
      <c r="AU159">
        <f t="shared" si="188"/>
        <v>2.4580715530244999E-6</v>
      </c>
      <c r="AV159">
        <f t="shared" si="189"/>
        <v>1.5707963267948966</v>
      </c>
      <c r="AW159" t="str">
        <f t="shared" si="166"/>
        <v>1+0,00770374389590339i</v>
      </c>
      <c r="AX159">
        <f t="shared" si="190"/>
        <v>1.0000296733947516</v>
      </c>
      <c r="AY159">
        <f t="shared" si="191"/>
        <v>7.7035915015797015E-3</v>
      </c>
      <c r="AZ159" t="str">
        <f t="shared" si="167"/>
        <v>1+0,53295900952568i</v>
      </c>
      <c r="BA159">
        <f t="shared" si="192"/>
        <v>1.1331572290880882</v>
      </c>
      <c r="BB159">
        <f t="shared" si="193"/>
        <v>0.48966585238864269</v>
      </c>
      <c r="BC159" s="41" t="str">
        <f t="shared" si="194"/>
        <v>-3,56122054405659+6,8078177699839i</v>
      </c>
      <c r="BD159">
        <f t="shared" si="195"/>
        <v>17.710630315541991</v>
      </c>
      <c r="BE159" s="43">
        <f t="shared" si="196"/>
        <v>117.61440343341181</v>
      </c>
      <c r="BF159" s="41" t="str">
        <f t="shared" si="197"/>
        <v>27,1249347587243+17,9449520636378i</v>
      </c>
      <c r="BG159" s="20">
        <f t="shared" si="198"/>
        <v>30.243967432581943</v>
      </c>
      <c r="BH159" s="43">
        <f t="shared" si="199"/>
        <v>33.487292001282896</v>
      </c>
      <c r="BI159" s="41" t="str">
        <f t="shared" si="152"/>
        <v>85,50577086645+57,3114139051742i</v>
      </c>
      <c r="BJ159" s="20">
        <f t="shared" si="200"/>
        <v>40.25135187402369</v>
      </c>
      <c r="BK159" s="43">
        <f t="shared" si="153"/>
        <v>33.832511579008539</v>
      </c>
      <c r="BL159">
        <f t="shared" si="201"/>
        <v>30.243967432581943</v>
      </c>
      <c r="BM159" s="43">
        <f t="shared" si="202"/>
        <v>33.487292001282896</v>
      </c>
    </row>
    <row r="160" spans="14:65" x14ac:dyDescent="0.25">
      <c r="N160" s="9">
        <v>42</v>
      </c>
      <c r="O160" s="34">
        <f t="shared" si="154"/>
        <v>263.02679918953817</v>
      </c>
      <c r="P160" s="33" t="str">
        <f t="shared" si="155"/>
        <v>54,631621870174</v>
      </c>
      <c r="Q160" s="4" t="str">
        <f t="shared" si="156"/>
        <v>1+13,1736558505361i</v>
      </c>
      <c r="R160" s="4">
        <f t="shared" si="168"/>
        <v>13.211555868570667</v>
      </c>
      <c r="S160" s="4">
        <f t="shared" si="169"/>
        <v>1.495032552822994</v>
      </c>
      <c r="T160" s="4" t="str">
        <f t="shared" si="157"/>
        <v>1+0,0330529224012436i</v>
      </c>
      <c r="U160" s="4">
        <f t="shared" si="170"/>
        <v>1.000546098727721</v>
      </c>
      <c r="V160" s="4">
        <f t="shared" si="171"/>
        <v>3.3040893560163695E-2</v>
      </c>
      <c r="W160" t="str">
        <f t="shared" si="158"/>
        <v>1-0,00657643889925569i</v>
      </c>
      <c r="X160" s="4">
        <f t="shared" si="172"/>
        <v>1.0000216245404874</v>
      </c>
      <c r="Y160" s="4">
        <f t="shared" si="173"/>
        <v>-6.5763440923779712E-3</v>
      </c>
      <c r="Z160" t="str">
        <f t="shared" si="159"/>
        <v>0,999999723267612+0,000903549514239603i</v>
      </c>
      <c r="AA160" s="4">
        <f t="shared" si="174"/>
        <v>1.0000001314685041</v>
      </c>
      <c r="AB160" s="4">
        <f t="shared" si="175"/>
        <v>9.0354951839454259E-4</v>
      </c>
      <c r="AC160" s="47" t="str">
        <f t="shared" si="176"/>
        <v>0,418512876870645-4,11626524673187i</v>
      </c>
      <c r="AD160" s="20">
        <f t="shared" si="177"/>
        <v>12.33473130580782</v>
      </c>
      <c r="AE160" s="43">
        <f t="shared" si="178"/>
        <v>-84.194518094192645</v>
      </c>
      <c r="AF160" t="str">
        <f t="shared" si="160"/>
        <v>171,265703090588</v>
      </c>
      <c r="AG160" t="str">
        <f t="shared" si="161"/>
        <v>1+13,0475837343451i</v>
      </c>
      <c r="AH160">
        <f t="shared" si="179"/>
        <v>13.085848895075427</v>
      </c>
      <c r="AI160">
        <f t="shared" si="180"/>
        <v>1.4943033250266482</v>
      </c>
      <c r="AJ160" t="str">
        <f t="shared" si="162"/>
        <v>1+0,0330529224012436i</v>
      </c>
      <c r="AK160">
        <f t="shared" si="181"/>
        <v>1.000546098727721</v>
      </c>
      <c r="AL160">
        <f t="shared" si="182"/>
        <v>3.3040893560163695E-2</v>
      </c>
      <c r="AM160" t="str">
        <f t="shared" si="163"/>
        <v>1-0,00207772423310262i</v>
      </c>
      <c r="AN160">
        <f t="shared" si="183"/>
        <v>1.000002158466665</v>
      </c>
      <c r="AO160">
        <f t="shared" si="184"/>
        <v>-2.0777212433081399E-3</v>
      </c>
      <c r="AP160" s="41" t="str">
        <f t="shared" si="185"/>
        <v>1,40443552199153-13,0195009800362i</v>
      </c>
      <c r="AQ160">
        <f t="shared" si="186"/>
        <v>22.34213082039966</v>
      </c>
      <c r="AR160" s="43">
        <f t="shared" si="187"/>
        <v>-83.843214742300503</v>
      </c>
      <c r="AS160" t="str">
        <f t="shared" si="164"/>
        <v>-0,0000166666666666667</v>
      </c>
      <c r="AT160" t="str">
        <f t="shared" si="165"/>
        <v>2,51532739473464E-06i</v>
      </c>
      <c r="AU160">
        <f t="shared" si="188"/>
        <v>2.5153273947346401E-6</v>
      </c>
      <c r="AV160">
        <f t="shared" si="189"/>
        <v>1.5707963267948966</v>
      </c>
      <c r="AW160" t="str">
        <f t="shared" si="166"/>
        <v>1+0,00788318714300356i</v>
      </c>
      <c r="AX160">
        <f t="shared" si="190"/>
        <v>1.0000310718370362</v>
      </c>
      <c r="AY160">
        <f t="shared" si="191"/>
        <v>7.8830238498177399E-3</v>
      </c>
      <c r="AZ160" t="str">
        <f t="shared" si="167"/>
        <v>1+0,545373219620519i</v>
      </c>
      <c r="BA160">
        <f t="shared" si="192"/>
        <v>1.1390487033833323</v>
      </c>
      <c r="BB160">
        <f t="shared" si="193"/>
        <v>0.49928404166522811</v>
      </c>
      <c r="BC160" s="41" t="str">
        <f t="shared" si="194"/>
        <v>-3,56121058405024+6,65411636749465i</v>
      </c>
      <c r="BD160">
        <f t="shared" si="195"/>
        <v>17.55566057444447</v>
      </c>
      <c r="BE160" s="43">
        <f t="shared" si="196"/>
        <v>118.15520436925604</v>
      </c>
      <c r="BF160" s="41" t="str">
        <f t="shared" si="197"/>
        <v>25,8996954645549+17,4437207474119i</v>
      </c>
      <c r="BG160" s="20">
        <f t="shared" si="198"/>
        <v>29.890391880252292</v>
      </c>
      <c r="BH160" s="43">
        <f t="shared" si="199"/>
        <v>33.96068627506331</v>
      </c>
      <c r="BI160" s="41" t="str">
        <f t="shared" si="152"/>
        <v>81,6317839223392+55,7104620831321i</v>
      </c>
      <c r="BJ160" s="20">
        <f t="shared" si="200"/>
        <v>39.897791394844134</v>
      </c>
      <c r="BK160" s="43">
        <f t="shared" si="153"/>
        <v>34.311989626955508</v>
      </c>
      <c r="BL160">
        <f t="shared" si="201"/>
        <v>29.890391880252292</v>
      </c>
      <c r="BM160" s="43">
        <f t="shared" si="202"/>
        <v>33.96068627506331</v>
      </c>
    </row>
    <row r="161" spans="14:65" x14ac:dyDescent="0.25">
      <c r="N161" s="9">
        <v>43</v>
      </c>
      <c r="O161" s="34">
        <f t="shared" si="154"/>
        <v>269.15348039269179</v>
      </c>
      <c r="P161" s="33" t="str">
        <f t="shared" si="155"/>
        <v>54,631621870174</v>
      </c>
      <c r="Q161" s="4" t="str">
        <f t="shared" si="156"/>
        <v>1+13,480509714572i</v>
      </c>
      <c r="R161" s="4">
        <f t="shared" si="168"/>
        <v>13.517549414175265</v>
      </c>
      <c r="S161" s="4">
        <f t="shared" si="169"/>
        <v>1.4967507772098052</v>
      </c>
      <c r="T161" s="4" t="str">
        <f t="shared" si="157"/>
        <v>1+0,0338228238675922i</v>
      </c>
      <c r="U161" s="4">
        <f t="shared" si="170"/>
        <v>1.0005718282134364</v>
      </c>
      <c r="V161" s="4">
        <f t="shared" si="171"/>
        <v>3.3809935129960181E-2</v>
      </c>
      <c r="W161" t="str">
        <f t="shared" si="158"/>
        <v>1-0,00672962383977092i</v>
      </c>
      <c r="X161" s="4">
        <f t="shared" si="172"/>
        <v>1.0000226436621447</v>
      </c>
      <c r="Y161" s="4">
        <f t="shared" si="173"/>
        <v>-6.7295222524954082E-3</v>
      </c>
      <c r="Z161" t="str">
        <f t="shared" si="159"/>
        <v>0,999999710225616+0,000924595886100067i</v>
      </c>
      <c r="AA161" s="4">
        <f t="shared" si="174"/>
        <v>1.0000001376644247</v>
      </c>
      <c r="AB161" s="4">
        <f t="shared" si="175"/>
        <v>9.2459589055216473E-4</v>
      </c>
      <c r="AC161" s="47" t="str">
        <f t="shared" si="176"/>
        <v>0,404530090814158-4,02365085256257i</v>
      </c>
      <c r="AD161" s="20">
        <f t="shared" si="177"/>
        <v>12.136083458312276</v>
      </c>
      <c r="AE161" s="43">
        <f t="shared" si="178"/>
        <v>-84.258884593980923</v>
      </c>
      <c r="AF161" t="str">
        <f t="shared" si="160"/>
        <v>171,265703090588</v>
      </c>
      <c r="AG161" t="str">
        <f t="shared" si="161"/>
        <v>1+13,3515010015517i</v>
      </c>
      <c r="AH161">
        <f t="shared" si="179"/>
        <v>13.388897601910175</v>
      </c>
      <c r="AI161">
        <f t="shared" si="180"/>
        <v>1.4960379630903904</v>
      </c>
      <c r="AJ161" t="str">
        <f t="shared" si="162"/>
        <v>1+0,0338228238675922i</v>
      </c>
      <c r="AK161">
        <f t="shared" si="181"/>
        <v>1.0005718282134364</v>
      </c>
      <c r="AL161">
        <f t="shared" si="182"/>
        <v>3.3809935129960181E-2</v>
      </c>
      <c r="AM161" t="str">
        <f t="shared" si="163"/>
        <v>1-0,00212612064762582i</v>
      </c>
      <c r="AN161">
        <f t="shared" si="183"/>
        <v>1.0000022601919498</v>
      </c>
      <c r="AO161">
        <f t="shared" si="184"/>
        <v>-2.1261174440037073E-3</v>
      </c>
      <c r="AP161" s="41" t="str">
        <f t="shared" si="185"/>
        <v>1,35977860053308-12,7265271842848i</v>
      </c>
      <c r="AQ161">
        <f t="shared" si="186"/>
        <v>22.143496682807708</v>
      </c>
      <c r="AR161" s="43">
        <f t="shared" si="187"/>
        <v>-83.901312244160565</v>
      </c>
      <c r="AS161" t="str">
        <f t="shared" si="164"/>
        <v>-0,0000166666666666667</v>
      </c>
      <c r="AT161" t="str">
        <f t="shared" si="165"/>
        <v>2,57391689632377E-06i</v>
      </c>
      <c r="AU161">
        <f t="shared" si="188"/>
        <v>2.5739168963237698E-6</v>
      </c>
      <c r="AV161">
        <f t="shared" si="189"/>
        <v>1.5707963267948966</v>
      </c>
      <c r="AW161" t="str">
        <f t="shared" si="166"/>
        <v>1+0,0080668101602733i</v>
      </c>
      <c r="AX161">
        <f t="shared" si="190"/>
        <v>1.0000325361837792</v>
      </c>
      <c r="AY161">
        <f t="shared" si="191"/>
        <v>8.0666351887797375E-3</v>
      </c>
      <c r="AZ161" t="str">
        <f t="shared" si="167"/>
        <v>1+0,558076593815271i</v>
      </c>
      <c r="BA161">
        <f t="shared" si="192"/>
        <v>1.1451853494366993</v>
      </c>
      <c r="BB161">
        <f t="shared" si="193"/>
        <v>0.50902289619441676</v>
      </c>
      <c r="BC161" s="41" t="str">
        <f t="shared" si="194"/>
        <v>-3,56120015470296+6,50394305817885i</v>
      </c>
      <c r="BD161">
        <f t="shared" si="195"/>
        <v>17.402317642914426</v>
      </c>
      <c r="BE161" s="43">
        <f t="shared" si="196"/>
        <v>118.7026794762771</v>
      </c>
      <c r="BF161" s="41" t="str">
        <f t="shared" si="197"/>
        <v>24,7289834090704+16,9600667145917i</v>
      </c>
      <c r="BG161" s="20">
        <f t="shared" si="198"/>
        <v>29.538401101226711</v>
      </c>
      <c r="BH161" s="43">
        <f t="shared" si="199"/>
        <v>34.443794882296103</v>
      </c>
      <c r="BI161" s="41" t="str">
        <f t="shared" si="152"/>
        <v>77,9301643723734+54,1656331671037i</v>
      </c>
      <c r="BJ161" s="20">
        <f t="shared" si="200"/>
        <v>39.545814325722134</v>
      </c>
      <c r="BK161" s="43">
        <f t="shared" si="153"/>
        <v>34.801367232116505</v>
      </c>
      <c r="BL161">
        <f t="shared" si="201"/>
        <v>29.538401101226711</v>
      </c>
      <c r="BM161" s="43">
        <f t="shared" si="202"/>
        <v>34.443794882296103</v>
      </c>
    </row>
    <row r="162" spans="14:65" x14ac:dyDescent="0.25">
      <c r="N162" s="9">
        <v>44</v>
      </c>
      <c r="O162" s="34">
        <f t="shared" si="154"/>
        <v>275.42287033381683</v>
      </c>
      <c r="P162" s="33" t="str">
        <f t="shared" si="155"/>
        <v>54,631621870174</v>
      </c>
      <c r="Q162" s="4" t="str">
        <f t="shared" si="156"/>
        <v>1+13,7945111232942i</v>
      </c>
      <c r="R162" s="4">
        <f t="shared" si="168"/>
        <v>13.830709928658305</v>
      </c>
      <c r="S162" s="4">
        <f t="shared" si="169"/>
        <v>1.4984303133826518</v>
      </c>
      <c r="T162" s="4" t="str">
        <f t="shared" si="157"/>
        <v>1+0,0346106586428534i</v>
      </c>
      <c r="U162" s="4">
        <f t="shared" si="170"/>
        <v>1.0005987695833392</v>
      </c>
      <c r="V162" s="4">
        <f t="shared" si="171"/>
        <v>3.4596848557971231E-2</v>
      </c>
      <c r="W162" t="str">
        <f t="shared" si="158"/>
        <v>1-0,00688637691592309i</v>
      </c>
      <c r="X162" s="4">
        <f t="shared" si="172"/>
        <v>1.0000237108124128</v>
      </c>
      <c r="Y162" s="4">
        <f t="shared" si="173"/>
        <v>-6.8862680633356051E-3</v>
      </c>
      <c r="Z162" t="str">
        <f t="shared" si="159"/>
        <v>0,99999969656897+0,000946132490937814i</v>
      </c>
      <c r="AA162" s="4">
        <f t="shared" si="174"/>
        <v>1.0000001441523509</v>
      </c>
      <c r="AB162" s="4">
        <f t="shared" si="175"/>
        <v>9.4613249570832175E-4</v>
      </c>
      <c r="AC162" s="47" t="str">
        <f t="shared" si="176"/>
        <v>0,391169895084903-3,93307694635579i</v>
      </c>
      <c r="AD162" s="20">
        <f t="shared" si="177"/>
        <v>11.937396401263669</v>
      </c>
      <c r="AE162" s="43">
        <f t="shared" si="178"/>
        <v>-84.320242939955364</v>
      </c>
      <c r="AF162" t="str">
        <f t="shared" si="160"/>
        <v>171,265703090588</v>
      </c>
      <c r="AG162" t="str">
        <f t="shared" si="161"/>
        <v>1+13,6624974113173i</v>
      </c>
      <c r="AH162">
        <f t="shared" si="179"/>
        <v>13.699045058479511</v>
      </c>
      <c r="AI162">
        <f t="shared" si="180"/>
        <v>1.4977335516173569</v>
      </c>
      <c r="AJ162" t="str">
        <f t="shared" si="162"/>
        <v>1+0,0346106586428534i</v>
      </c>
      <c r="AK162">
        <f t="shared" si="181"/>
        <v>1.0005987695833392</v>
      </c>
      <c r="AL162">
        <f t="shared" si="182"/>
        <v>3.4596848557971231E-2</v>
      </c>
      <c r="AM162" t="str">
        <f t="shared" si="163"/>
        <v>1-0,00217564435945892i</v>
      </c>
      <c r="AN162">
        <f t="shared" si="183"/>
        <v>1.0000023667113886</v>
      </c>
      <c r="AO162">
        <f t="shared" si="184"/>
        <v>-2.175640926716418E-3</v>
      </c>
      <c r="AP162" s="41" t="str">
        <f t="shared" si="185"/>
        <v>1,31710964673856-12,4400016129878i</v>
      </c>
      <c r="AQ162">
        <f t="shared" si="186"/>
        <v>21.944821999950491</v>
      </c>
      <c r="AR162" s="43">
        <f t="shared" si="187"/>
        <v>-83.956212978825548</v>
      </c>
      <c r="AS162" t="str">
        <f t="shared" si="164"/>
        <v>-0,0000166666666666667</v>
      </c>
      <c r="AT162" t="str">
        <f t="shared" si="165"/>
        <v>2,63387112272114E-06i</v>
      </c>
      <c r="AU162">
        <f t="shared" si="188"/>
        <v>2.6338711227211401E-6</v>
      </c>
      <c r="AV162">
        <f t="shared" si="189"/>
        <v>1.5707963267948966</v>
      </c>
      <c r="AW162" t="str">
        <f t="shared" si="166"/>
        <v>1+0,00825471030706687i</v>
      </c>
      <c r="AX162">
        <f t="shared" si="190"/>
        <v>1.0000340695407599</v>
      </c>
      <c r="AY162">
        <f t="shared" si="191"/>
        <v>8.2545228220786224E-3</v>
      </c>
      <c r="AZ162" t="str">
        <f t="shared" si="167"/>
        <v>1+0,571075867607081i</v>
      </c>
      <c r="BA162">
        <f t="shared" si="192"/>
        <v>1.1515761575176782</v>
      </c>
      <c r="BB162">
        <f t="shared" si="193"/>
        <v>0.51888018943050418</v>
      </c>
      <c r="BC162" s="41" t="str">
        <f t="shared" si="194"/>
        <v>-3,56118923390117+6,35721821763083i</v>
      </c>
      <c r="BD162">
        <f t="shared" si="195"/>
        <v>17.250641948684734</v>
      </c>
      <c r="BE162" s="43">
        <f t="shared" si="196"/>
        <v>119.25669560771695</v>
      </c>
      <c r="BF162" s="41" t="str">
        <f t="shared" si="197"/>
        <v>23,6103983957143+16,4931836606896i</v>
      </c>
      <c r="BG162" s="20">
        <f t="shared" si="198"/>
        <v>29.188038349948407</v>
      </c>
      <c r="BH162" s="43">
        <f t="shared" si="199"/>
        <v>34.936452667761529</v>
      </c>
      <c r="BI162" s="41" t="str">
        <f t="shared" si="152"/>
        <v>74,3933281876102+52,674353254749i</v>
      </c>
      <c r="BJ162" s="20">
        <f t="shared" si="200"/>
        <v>39.195463948635222</v>
      </c>
      <c r="BK162" s="43">
        <f t="shared" si="153"/>
        <v>35.300482628891409</v>
      </c>
      <c r="BL162">
        <f t="shared" si="201"/>
        <v>29.188038349948407</v>
      </c>
      <c r="BM162" s="43">
        <f t="shared" si="202"/>
        <v>34.936452667761529</v>
      </c>
    </row>
    <row r="163" spans="14:65" x14ac:dyDescent="0.25">
      <c r="N163" s="9">
        <v>45</v>
      </c>
      <c r="O163" s="34">
        <f t="shared" si="154"/>
        <v>281.83829312644554</v>
      </c>
      <c r="P163" s="33" t="str">
        <f t="shared" si="155"/>
        <v>54,631621870174</v>
      </c>
      <c r="Q163" s="4" t="str">
        <f t="shared" si="156"/>
        <v>1+14,1158265644058i</v>
      </c>
      <c r="R163" s="4">
        <f t="shared" si="168"/>
        <v>14.151203468128939</v>
      </c>
      <c r="S163" s="4">
        <f t="shared" si="169"/>
        <v>1.5000720139309573</v>
      </c>
      <c r="T163" s="4" t="str">
        <f t="shared" si="157"/>
        <v>1+0,0354168444474532i</v>
      </c>
      <c r="U163" s="4">
        <f t="shared" si="170"/>
        <v>1.0006269798834204</v>
      </c>
      <c r="V163" s="4">
        <f t="shared" si="171"/>
        <v>3.5402047175624382E-2</v>
      </c>
      <c r="W163" t="str">
        <f t="shared" si="158"/>
        <v>1-0,00704678124026805i</v>
      </c>
      <c r="X163" s="4">
        <f t="shared" si="172"/>
        <v>1.0000248282547028</v>
      </c>
      <c r="Y163" s="4">
        <f t="shared" si="173"/>
        <v>-7.0466646027755354E-3</v>
      </c>
      <c r="Z163" t="str">
        <f t="shared" si="159"/>
        <v>0,999999682268706+0,0009681707477458i</v>
      </c>
      <c r="AA163" s="4">
        <f t="shared" si="174"/>
        <v>1.0000001509460434</v>
      </c>
      <c r="AB163" s="4">
        <f t="shared" si="175"/>
        <v>9.6817075285749051E-4</v>
      </c>
      <c r="AC163" s="47" t="str">
        <f t="shared" si="176"/>
        <v>0,378404856379729-3,84450164148979i</v>
      </c>
      <c r="AD163" s="20">
        <f t="shared" si="177"/>
        <v>11.738672881527654</v>
      </c>
      <c r="AE163" s="43">
        <f t="shared" si="178"/>
        <v>-84.378623714017181</v>
      </c>
      <c r="AF163" t="str">
        <f t="shared" si="160"/>
        <v>171,265703090588</v>
      </c>
      <c r="AG163" t="str">
        <f t="shared" si="161"/>
        <v>1+13,980737858055i</v>
      </c>
      <c r="AH163">
        <f t="shared" si="179"/>
        <v>14.016455723743158</v>
      </c>
      <c r="AI163">
        <f t="shared" si="180"/>
        <v>1.4993909506103715</v>
      </c>
      <c r="AJ163" t="str">
        <f t="shared" si="162"/>
        <v>1+0,0354168444474532i</v>
      </c>
      <c r="AK163">
        <f t="shared" si="181"/>
        <v>1.0006269798834204</v>
      </c>
      <c r="AL163">
        <f t="shared" si="182"/>
        <v>3.5402047175624382E-2</v>
      </c>
      <c r="AM163" t="str">
        <f t="shared" si="163"/>
        <v>1-0,00222632162672947i</v>
      </c>
      <c r="AN163">
        <f t="shared" si="183"/>
        <v>1.000002478250922</v>
      </c>
      <c r="AO163">
        <f t="shared" si="184"/>
        <v>-2.2263179484801015E-3</v>
      </c>
      <c r="AP163" s="41" t="str">
        <f t="shared" si="185"/>
        <v>1,2763411013977-12,159792129267i</v>
      </c>
      <c r="AQ163">
        <f t="shared" si="186"/>
        <v>21.746109543529766</v>
      </c>
      <c r="AR163" s="43">
        <f t="shared" si="187"/>
        <v>-84.007944043098576</v>
      </c>
      <c r="AS163" t="str">
        <f t="shared" si="164"/>
        <v>-0,0000166666666666667</v>
      </c>
      <c r="AT163" t="str">
        <f t="shared" si="165"/>
        <v>2,69522186245118E-06i</v>
      </c>
      <c r="AU163">
        <f t="shared" si="188"/>
        <v>2.6952218624511801E-6</v>
      </c>
      <c r="AV163">
        <f t="shared" si="189"/>
        <v>1.5707963267948966</v>
      </c>
      <c r="AW163" t="str">
        <f t="shared" si="166"/>
        <v>1+0,00844698721052924i</v>
      </c>
      <c r="AX163">
        <f t="shared" si="190"/>
        <v>1.0000356751601089</v>
      </c>
      <c r="AY163">
        <f t="shared" si="191"/>
        <v>8.4467863171319504E-3</v>
      </c>
      <c r="AZ163" t="str">
        <f t="shared" si="167"/>
        <v>1+0,584377933382978i</v>
      </c>
      <c r="BA163">
        <f t="shared" si="192"/>
        <v>1.1582303609493927</v>
      </c>
      <c r="BB163">
        <f t="shared" si="193"/>
        <v>0.52885348479464189</v>
      </c>
      <c r="BC163" s="41" t="str">
        <f t="shared" si="194"/>
        <v>-3,56117779848966+6,21386404983078i</v>
      </c>
      <c r="BD163">
        <f t="shared" si="195"/>
        <v>17.100673611580742</v>
      </c>
      <c r="BE163" s="43">
        <f t="shared" si="196"/>
        <v>119.81710745309863</v>
      </c>
      <c r="BF163" s="41" t="str">
        <f t="shared" si="197"/>
        <v>22,5416435661887+16,0423102252699i</v>
      </c>
      <c r="BG163" s="20">
        <f t="shared" si="198"/>
        <v>28.839346493108408</v>
      </c>
      <c r="BH163" s="43">
        <f t="shared" si="199"/>
        <v>35.438483739081441</v>
      </c>
      <c r="BI163" s="41" t="str">
        <f t="shared" si="152"/>
        <v>71,0140175718701+51,2341918502915i</v>
      </c>
      <c r="BJ163" s="20">
        <f t="shared" si="200"/>
        <v>38.846783155110501</v>
      </c>
      <c r="BK163" s="43">
        <f t="shared" si="153"/>
        <v>35.809163410000032</v>
      </c>
      <c r="BL163">
        <f t="shared" si="201"/>
        <v>28.839346493108408</v>
      </c>
      <c r="BM163" s="43">
        <f t="shared" si="202"/>
        <v>35.438483739081441</v>
      </c>
    </row>
    <row r="164" spans="14:65" x14ac:dyDescent="0.25">
      <c r="N164" s="9">
        <v>46</v>
      </c>
      <c r="O164" s="34">
        <f t="shared" si="154"/>
        <v>288.40315031266073</v>
      </c>
      <c r="P164" s="33" t="str">
        <f t="shared" si="155"/>
        <v>54,631621870174</v>
      </c>
      <c r="Q164" s="4" t="str">
        <f t="shared" si="156"/>
        <v>1+14,444626403607i</v>
      </c>
      <c r="R164" s="4">
        <f t="shared" si="168"/>
        <v>14.479199975819812</v>
      </c>
      <c r="S164" s="4">
        <f t="shared" si="169"/>
        <v>1.501676713888789</v>
      </c>
      <c r="T164" s="4" t="str">
        <f t="shared" si="157"/>
        <v>1+0,0362418087317764i</v>
      </c>
      <c r="U164" s="4">
        <f t="shared" si="170"/>
        <v>1.0006565188415806</v>
      </c>
      <c r="V164" s="4">
        <f t="shared" si="171"/>
        <v>3.622595373112826E-2</v>
      </c>
      <c r="W164" t="str">
        <f t="shared" si="158"/>
        <v>1-0,00721092186130178i</v>
      </c>
      <c r="X164" s="4">
        <f t="shared" si="172"/>
        <v>1.0000259983590876</v>
      </c>
      <c r="Y164" s="4">
        <f t="shared" si="173"/>
        <v>-7.2107968821523202E-3</v>
      </c>
      <c r="Z164" t="str">
        <f t="shared" si="159"/>
        <v>0,999999667294492+0,000990722341499495i</v>
      </c>
      <c r="AA164" s="4">
        <f t="shared" si="174"/>
        <v>1.0000001580599138</v>
      </c>
      <c r="AB164" s="4">
        <f t="shared" si="175"/>
        <v>9.9072234697676837E-4</v>
      </c>
      <c r="AC164" s="47" t="str">
        <f t="shared" si="176"/>
        <v>0,366208724929076-3,75788370833905i</v>
      </c>
      <c r="AD164" s="20">
        <f t="shared" si="177"/>
        <v>11.539915571634001</v>
      </c>
      <c r="AE164" s="43">
        <f t="shared" si="178"/>
        <v>-84.434056078696699</v>
      </c>
      <c r="AF164" t="str">
        <f t="shared" si="160"/>
        <v>171,265703090588</v>
      </c>
      <c r="AG164" t="str">
        <f t="shared" si="161"/>
        <v>1+14,3063910770619i</v>
      </c>
      <c r="AH164">
        <f t="shared" si="179"/>
        <v>14.341297906738996</v>
      </c>
      <c r="AI164">
        <f t="shared" si="180"/>
        <v>1.5010110024012726</v>
      </c>
      <c r="AJ164" t="str">
        <f t="shared" si="162"/>
        <v>1+0,0362418087317764i</v>
      </c>
      <c r="AK164">
        <f t="shared" si="181"/>
        <v>1.0006565188415806</v>
      </c>
      <c r="AL164">
        <f t="shared" si="182"/>
        <v>3.622595373112826E-2</v>
      </c>
      <c r="AM164" t="str">
        <f t="shared" si="163"/>
        <v>1-0,00227817931919535i</v>
      </c>
      <c r="AN164">
        <f t="shared" si="183"/>
        <v>1.0000025950471381</v>
      </c>
      <c r="AO164">
        <f t="shared" si="184"/>
        <v>-2.2781753778806945E-3</v>
      </c>
      <c r="AP164" s="41" t="str">
        <f t="shared" si="185"/>
        <v>1,23738917962906-11,8857686474442i</v>
      </c>
      <c r="AQ164">
        <f t="shared" si="186"/>
        <v>21.547362008254755</v>
      </c>
      <c r="AR164" s="43">
        <f t="shared" si="187"/>
        <v>-84.056531016807327</v>
      </c>
      <c r="AS164" t="str">
        <f t="shared" si="164"/>
        <v>-0,0000166666666666667</v>
      </c>
      <c r="AT164" t="str">
        <f t="shared" si="165"/>
        <v>2,75800164448818E-06i</v>
      </c>
      <c r="AU164">
        <f t="shared" si="188"/>
        <v>2.75800164448818E-6</v>
      </c>
      <c r="AV164">
        <f t="shared" si="189"/>
        <v>1.5707963267948966</v>
      </c>
      <c r="AW164" t="str">
        <f t="shared" si="166"/>
        <v>1+0,00864374281841973i</v>
      </c>
      <c r="AX164">
        <f t="shared" si="190"/>
        <v>1.0000373564472034</v>
      </c>
      <c r="AY164">
        <f t="shared" si="191"/>
        <v>8.6435275577005297E-3</v>
      </c>
      <c r="AZ164" t="str">
        <f t="shared" si="167"/>
        <v>1+0,597989844074311i</v>
      </c>
      <c r="BA164">
        <f t="shared" si="192"/>
        <v>1.165157437265891</v>
      </c>
      <c r="BB164">
        <f t="shared" si="193"/>
        <v>0.53894013356918169</v>
      </c>
      <c r="BC164" s="41" t="str">
        <f t="shared" si="194"/>
        <v>-3,56116582422247+6,07380454589368i</v>
      </c>
      <c r="BD164">
        <f t="shared" si="195"/>
        <v>16.95245234139766</v>
      </c>
      <c r="BE164" s="43">
        <f t="shared" si="196"/>
        <v>120.38375741456964</v>
      </c>
      <c r="BF164" s="41" t="str">
        <f t="shared" si="197"/>
        <v>21,5205211549+15,6067272517596i</v>
      </c>
      <c r="BG164" s="20">
        <f t="shared" si="198"/>
        <v>28.492367913031664</v>
      </c>
      <c r="BH164" s="43">
        <f t="shared" si="199"/>
        <v>35.949701335872994</v>
      </c>
      <c r="BI164" s="41" t="str">
        <f t="shared" si="152"/>
        <v>67,7852875845295+49,8428531261639i</v>
      </c>
      <c r="BJ164" s="20">
        <f t="shared" si="200"/>
        <v>38.499814349652425</v>
      </c>
      <c r="BK164" s="43">
        <f t="shared" si="153"/>
        <v>36.327226397762338</v>
      </c>
      <c r="BL164">
        <f t="shared" si="201"/>
        <v>28.492367913031664</v>
      </c>
      <c r="BM164" s="43">
        <f t="shared" si="202"/>
        <v>35.949701335872994</v>
      </c>
    </row>
    <row r="165" spans="14:65" x14ac:dyDescent="0.25">
      <c r="N165" s="9">
        <v>47</v>
      </c>
      <c r="O165" s="34">
        <f t="shared" si="154"/>
        <v>295.12092266663871</v>
      </c>
      <c r="P165" s="33" t="str">
        <f t="shared" si="155"/>
        <v>54,631621870174</v>
      </c>
      <c r="Q165" s="4" t="str">
        <f t="shared" si="156"/>
        <v>1+14,7810849749246i</v>
      </c>
      <c r="R165" s="4">
        <f t="shared" si="168"/>
        <v>14.814873372254713</v>
      </c>
      <c r="S165" s="4">
        <f t="shared" si="169"/>
        <v>1.5032452310131244</v>
      </c>
      <c r="T165" s="4" t="str">
        <f t="shared" si="157"/>
        <v>1+0,0370859889028062i</v>
      </c>
      <c r="U165" s="4">
        <f t="shared" si="170"/>
        <v>1.0006874489933903</v>
      </c>
      <c r="V165" s="4">
        <f t="shared" si="171"/>
        <v>3.7069000593801728E-2</v>
      </c>
      <c r="W165" t="str">
        <f t="shared" si="158"/>
        <v>1-0,0073788858085542i</v>
      </c>
      <c r="X165" s="4">
        <f t="shared" si="172"/>
        <v>1.0000272236073253</v>
      </c>
      <c r="Y165" s="4">
        <f t="shared" si="173"/>
        <v>-7.3787518911796962E-3</v>
      </c>
      <c r="Z165" t="str">
        <f t="shared" si="159"/>
        <v>0,999999651614564+0,00101379922935241i</v>
      </c>
      <c r="AA165" s="4">
        <f t="shared" si="174"/>
        <v>1.0000001655090498</v>
      </c>
      <c r="AB165" s="4">
        <f t="shared" si="175"/>
        <v>1.0137992352214134E-3</v>
      </c>
      <c r="AC165" s="47" t="str">
        <f t="shared" si="176"/>
        <v>0,354556385655812-3,67318257854717i</v>
      </c>
      <c r="AD165" s="20">
        <f t="shared" si="177"/>
        <v>11.341127075152905</v>
      </c>
      <c r="AE165" s="43">
        <f t="shared" si="178"/>
        <v>-84.486567784318225</v>
      </c>
      <c r="AF165" t="str">
        <f t="shared" si="160"/>
        <v>171,265703090588</v>
      </c>
      <c r="AG165" t="str">
        <f t="shared" si="161"/>
        <v>1+14,6396297339853i</v>
      </c>
      <c r="AH165">
        <f t="shared" si="179"/>
        <v>14.673743855887173</v>
      </c>
      <c r="AI165">
        <f t="shared" si="180"/>
        <v>1.5025945319283824</v>
      </c>
      <c r="AJ165" t="str">
        <f t="shared" si="162"/>
        <v>1+0,0370859889028062i</v>
      </c>
      <c r="AK165">
        <f t="shared" si="181"/>
        <v>1.0006874489933903</v>
      </c>
      <c r="AL165">
        <f t="shared" si="182"/>
        <v>3.7069000593801728E-2</v>
      </c>
      <c r="AM165" t="str">
        <f t="shared" si="163"/>
        <v>1-0,00233124493249154i</v>
      </c>
      <c r="AN165">
        <f t="shared" si="183"/>
        <v>1.0000027173477757</v>
      </c>
      <c r="AO165">
        <f t="shared" si="184"/>
        <v>-2.3312407092974186E-3</v>
      </c>
      <c r="AP165" s="41" t="str">
        <f t="shared" si="185"/>
        <v>1,2001737154087-11,6178031482356i</v>
      </c>
      <c r="AQ165">
        <f t="shared" si="186"/>
        <v>21.348582017254021</v>
      </c>
      <c r="AR165" s="43">
        <f t="shared" si="187"/>
        <v>-84.101997967810831</v>
      </c>
      <c r="AS165" t="str">
        <f t="shared" si="164"/>
        <v>-0,0000166666666666667</v>
      </c>
      <c r="AT165" t="str">
        <f t="shared" si="165"/>
        <v>2,82224375550355E-06i</v>
      </c>
      <c r="AU165">
        <f t="shared" si="188"/>
        <v>2.8222437555035499E-6</v>
      </c>
      <c r="AV165">
        <f t="shared" si="189"/>
        <v>1.5707963267948966</v>
      </c>
      <c r="AW165" t="str">
        <f t="shared" si="166"/>
        <v>1+0,008845081453166i</v>
      </c>
      <c r="AX165">
        <f t="shared" si="190"/>
        <v>1.0000391169678879</v>
      </c>
      <c r="AY165">
        <f t="shared" si="191"/>
        <v>8.8448507976369942E-3</v>
      </c>
      <c r="AZ165" t="str">
        <f t="shared" si="167"/>
        <v>1+0,611918816896302i</v>
      </c>
      <c r="BA165">
        <f t="shared" si="192"/>
        <v>1.1723671090881773</v>
      </c>
      <c r="BB165">
        <f t="shared" si="193"/>
        <v>0.54913727352588781</v>
      </c>
      <c r="BC165" s="41" t="str">
        <f t="shared" si="194"/>
        <v>-3,56115328571179+5,93696544376546i</v>
      </c>
      <c r="BD165">
        <f t="shared" si="195"/>
        <v>16.806017332434799</v>
      </c>
      <c r="BE165" s="43">
        <f t="shared" si="196"/>
        <v>120.95647552522692</v>
      </c>
      <c r="BF165" s="41" t="str">
        <f t="shared" si="197"/>
        <v>20,5449283997276+15,1857552181175i</v>
      </c>
      <c r="BG165" s="20">
        <f t="shared" si="198"/>
        <v>28.14714440758771</v>
      </c>
      <c r="BH165" s="43">
        <f t="shared" si="199"/>
        <v>36.469907740908667</v>
      </c>
      <c r="BI165" s="41" t="str">
        <f t="shared" si="152"/>
        <v>64,7004932534917+48,498167728989i</v>
      </c>
      <c r="BJ165" s="20">
        <f t="shared" si="200"/>
        <v>38.154599349688816</v>
      </c>
      <c r="BK165" s="43">
        <f t="shared" si="153"/>
        <v>36.854477557416089</v>
      </c>
      <c r="BL165">
        <f t="shared" si="201"/>
        <v>28.14714440758771</v>
      </c>
      <c r="BM165" s="43">
        <f t="shared" si="202"/>
        <v>36.469907740908667</v>
      </c>
    </row>
    <row r="166" spans="14:65" x14ac:dyDescent="0.25">
      <c r="N166" s="9">
        <v>48</v>
      </c>
      <c r="O166" s="34">
        <f t="shared" si="154"/>
        <v>301.99517204020168</v>
      </c>
      <c r="P166" s="33" t="str">
        <f t="shared" si="155"/>
        <v>54,631621870174</v>
      </c>
      <c r="Q166" s="4" t="str">
        <f t="shared" si="156"/>
        <v>1+15,1253806731467i</v>
      </c>
      <c r="R166" s="4">
        <f t="shared" si="168"/>
        <v>15.158401647522068</v>
      </c>
      <c r="S166" s="4">
        <f t="shared" si="169"/>
        <v>1.5047783660636453</v>
      </c>
      <c r="T166" s="4" t="str">
        <f t="shared" si="157"/>
        <v>1+0,0379498325560434i</v>
      </c>
      <c r="U166" s="4">
        <f t="shared" si="170"/>
        <v>1.0007198358137164</v>
      </c>
      <c r="V166" s="4">
        <f t="shared" si="171"/>
        <v>3.7931629962097528E-2</v>
      </c>
      <c r="W166" t="str">
        <f t="shared" si="158"/>
        <v>1-0,00755076213873342i</v>
      </c>
      <c r="X166" s="4">
        <f t="shared" si="172"/>
        <v>1.0000285065981249</v>
      </c>
      <c r="Y166" s="4">
        <f t="shared" si="173"/>
        <v>-7.5506186439022512E-3</v>
      </c>
      <c r="Z166" t="str">
        <f t="shared" si="159"/>
        <v>0,999999635195664+0,00103741364697595i</v>
      </c>
      <c r="AA166" s="4">
        <f t="shared" si="174"/>
        <v>1.0000001733092529</v>
      </c>
      <c r="AB166" s="4">
        <f t="shared" si="175"/>
        <v>1.0374136532646995E-3</v>
      </c>
      <c r="AC166" s="47" t="str">
        <f t="shared" si="176"/>
        <v>0,343423811152211-3,59035834798571i</v>
      </c>
      <c r="AD166" s="20">
        <f t="shared" si="177"/>
        <v>11.142309931947135</v>
      </c>
      <c r="AE166" s="43">
        <f t="shared" si="178"/>
        <v>-84.536185176108432</v>
      </c>
      <c r="AF166" t="str">
        <f t="shared" si="160"/>
        <v>171,265703090588</v>
      </c>
      <c r="AG166" t="str">
        <f t="shared" si="161"/>
        <v>1+14,9806305163721i</v>
      </c>
      <c r="AH166">
        <f t="shared" si="179"/>
        <v>15.013969850377984</v>
      </c>
      <c r="AI166">
        <f t="shared" si="180"/>
        <v>1.5041423470157302</v>
      </c>
      <c r="AJ166" t="str">
        <f t="shared" si="162"/>
        <v>1+0,0379498325560434i</v>
      </c>
      <c r="AK166">
        <f t="shared" si="181"/>
        <v>1.0007198358137164</v>
      </c>
      <c r="AL166">
        <f t="shared" si="182"/>
        <v>3.7931629962097528E-2</v>
      </c>
      <c r="AM166" t="str">
        <f t="shared" si="163"/>
        <v>1-0,00238554660270861i</v>
      </c>
      <c r="AN166">
        <f t="shared" si="183"/>
        <v>1.0000028454122487</v>
      </c>
      <c r="AO166">
        <f t="shared" si="184"/>
        <v>-2.3855420774752745E-3</v>
      </c>
      <c r="AP166" s="41" t="str">
        <f t="shared" si="185"/>
        <v>1,16461801186085-11,3557696896867i</v>
      </c>
      <c r="AQ166">
        <f t="shared" si="186"/>
        <v>21.149772127359409</v>
      </c>
      <c r="AR166" s="43">
        <f t="shared" si="187"/>
        <v>-84.144367456913486</v>
      </c>
      <c r="AS166" t="str">
        <f t="shared" si="164"/>
        <v>-0,0000166666666666667</v>
      </c>
      <c r="AT166" t="str">
        <f t="shared" si="165"/>
        <v>0,0000028879822575149i</v>
      </c>
      <c r="AU166">
        <f t="shared" si="188"/>
        <v>2.8879822575148999E-6</v>
      </c>
      <c r="AV166">
        <f t="shared" si="189"/>
        <v>1.5707963267948966</v>
      </c>
      <c r="AW166" t="str">
        <f t="shared" si="166"/>
        <v>1+0,00905110986717723i</v>
      </c>
      <c r="AX166">
        <f t="shared" si="190"/>
        <v>1.0000409604560343</v>
      </c>
      <c r="AY166">
        <f t="shared" si="191"/>
        <v>9.0508627158717696E-3</v>
      </c>
      <c r="AZ166" t="str">
        <f t="shared" si="167"/>
        <v>1+0,626172237174716i</v>
      </c>
      <c r="BA166">
        <f t="shared" si="192"/>
        <v>1.1798693447193163</v>
      </c>
      <c r="BB166">
        <f t="shared" si="193"/>
        <v>0.55944182833714207</v>
      </c>
      <c r="BC166" s="41" t="str">
        <f t="shared" si="194"/>
        <v>-3,56114015637394+5,80327418884513i</v>
      </c>
      <c r="BD166">
        <f t="shared" si="195"/>
        <v>16.661407155117665</v>
      </c>
      <c r="BE166" s="43">
        <f t="shared" si="196"/>
        <v>121.53507941222882</v>
      </c>
      <c r="BF166" s="41" t="str">
        <f t="shared" si="197"/>
        <v>19,612853605021+14,7787518278788i</v>
      </c>
      <c r="BG166" s="20">
        <f t="shared" si="198"/>
        <v>27.803717087064811</v>
      </c>
      <c r="BH166" s="43">
        <f t="shared" si="199"/>
        <v>36.998894236120435</v>
      </c>
      <c r="BI166" s="41" t="str">
        <f t="shared" si="152"/>
        <v>61,7532771657546+47,1980850965735i</v>
      </c>
      <c r="BJ166" s="20">
        <f t="shared" si="200"/>
        <v>37.81117928247707</v>
      </c>
      <c r="BK166" s="43">
        <f t="shared" si="153"/>
        <v>37.390711955315325</v>
      </c>
      <c r="BL166">
        <f t="shared" si="201"/>
        <v>27.803717087064811</v>
      </c>
      <c r="BM166" s="43">
        <f t="shared" si="202"/>
        <v>36.998894236120435</v>
      </c>
    </row>
    <row r="167" spans="14:65" x14ac:dyDescent="0.25">
      <c r="N167" s="9">
        <v>49</v>
      </c>
      <c r="O167" s="34">
        <f t="shared" si="154"/>
        <v>309.02954325135937</v>
      </c>
      <c r="P167" s="33" t="str">
        <f t="shared" si="155"/>
        <v>54,631621870174</v>
      </c>
      <c r="Q167" s="4" t="str">
        <f t="shared" si="156"/>
        <v>1+15,4776960484097i</v>
      </c>
      <c r="R167" s="4">
        <f t="shared" si="168"/>
        <v>15.509966955701655</v>
      </c>
      <c r="S167" s="4">
        <f t="shared" si="169"/>
        <v>1.5062769030835161</v>
      </c>
      <c r="T167" s="4" t="str">
        <f t="shared" si="157"/>
        <v>1+0,0388337977128272i</v>
      </c>
      <c r="U167" s="4">
        <f t="shared" si="170"/>
        <v>1.0007537478544863</v>
      </c>
      <c r="V167" s="4">
        <f t="shared" si="171"/>
        <v>3.881429407533063E-2</v>
      </c>
      <c r="W167" t="str">
        <f t="shared" si="158"/>
        <v>1-0,00772664198294474i</v>
      </c>
      <c r="X167" s="4">
        <f t="shared" si="172"/>
        <v>1.0000298500526534</v>
      </c>
      <c r="Y167" s="4">
        <f t="shared" si="173"/>
        <v>-7.7264882257108156E-3</v>
      </c>
      <c r="Z167" t="str">
        <f t="shared" si="159"/>
        <v>0,999999618002966+0,00106157811504691i</v>
      </c>
      <c r="AA167" s="4">
        <f t="shared" si="174"/>
        <v>1.0000001814770698</v>
      </c>
      <c r="AB167" s="4">
        <f t="shared" si="175"/>
        <v>1.0615781217854243E-3</v>
      </c>
      <c r="AC167" s="47" t="str">
        <f t="shared" si="176"/>
        <v>0,33278801642552-3,50937177850326i</v>
      </c>
      <c r="AD167" s="20">
        <f t="shared" si="177"/>
        <v>10.943466623309213</v>
      </c>
      <c r="AE167" s="43">
        <f t="shared" si="178"/>
        <v>-84.582933201218026</v>
      </c>
      <c r="AF167" t="str">
        <f t="shared" si="160"/>
        <v>171,265703090588</v>
      </c>
      <c r="AG167" t="str">
        <f t="shared" si="161"/>
        <v>1+15,3295742273508i</v>
      </c>
      <c r="AH167">
        <f t="shared" si="179"/>
        <v>15.362156293693213</v>
      </c>
      <c r="AI167">
        <f t="shared" si="180"/>
        <v>1.5056552386534805</v>
      </c>
      <c r="AJ167" t="str">
        <f t="shared" si="162"/>
        <v>1+0,0388337977128272i</v>
      </c>
      <c r="AK167">
        <f t="shared" si="181"/>
        <v>1.0007537478544863</v>
      </c>
      <c r="AL167">
        <f t="shared" si="182"/>
        <v>3.881429407533063E-2</v>
      </c>
      <c r="AM167" t="str">
        <f t="shared" si="163"/>
        <v>1-0,00244111312131088i</v>
      </c>
      <c r="AN167">
        <f t="shared" si="183"/>
        <v>1.0000029795121967</v>
      </c>
      <c r="AO167">
        <f t="shared" si="184"/>
        <v>-2.4411082724367806E-3</v>
      </c>
      <c r="AP167" s="41" t="str">
        <f t="shared" si="185"/>
        <v>1,13064869715554-11,0995444141833i</v>
      </c>
      <c r="AQ167">
        <f t="shared" si="186"/>
        <v>20.950934834271195</v>
      </c>
      <c r="AR167" s="43">
        <f t="shared" si="187"/>
        <v>-84.183660542656185</v>
      </c>
      <c r="AS167" t="str">
        <f t="shared" si="164"/>
        <v>-0,0000166666666666667</v>
      </c>
      <c r="AT167" t="str">
        <f t="shared" si="165"/>
        <v>2,95525200594615E-06i</v>
      </c>
      <c r="AU167">
        <f t="shared" si="188"/>
        <v>2.95525200594615E-6</v>
      </c>
      <c r="AV167">
        <f t="shared" si="189"/>
        <v>1.5707963267948966</v>
      </c>
      <c r="AW167" t="str">
        <f t="shared" si="166"/>
        <v>1+0,00926193729944564i</v>
      </c>
      <c r="AX167">
        <f t="shared" si="190"/>
        <v>1.0000428908214583</v>
      </c>
      <c r="AY167">
        <f t="shared" si="191"/>
        <v>9.2616724726639638E-3</v>
      </c>
      <c r="AZ167" t="str">
        <f t="shared" si="167"/>
        <v>1+0,640757662261649i</v>
      </c>
      <c r="BA167">
        <f t="shared" si="192"/>
        <v>1.1876743584615328</v>
      </c>
      <c r="BB167">
        <f t="shared" si="193"/>
        <v>0.56985050781589441</v>
      </c>
      <c r="BC167" s="41" t="str">
        <f t="shared" si="194"/>
        <v>-3,56112640837321+5,6726598955121i</v>
      </c>
      <c r="BD167">
        <f t="shared" si="195"/>
        <v>16.518659645192074</v>
      </c>
      <c r="BE167" s="43">
        <f t="shared" si="196"/>
        <v>122.11937430732128</v>
      </c>
      <c r="BF167" s="41" t="str">
        <f t="shared" si="197"/>
        <v>18,7223723526744+14,3851097517117i</v>
      </c>
      <c r="BG167" s="20">
        <f t="shared" si="198"/>
        <v>27.462126268501304</v>
      </c>
      <c r="BH167" s="43">
        <f t="shared" si="199"/>
        <v>37.536441106103211</v>
      </c>
      <c r="BI167" s="41" t="str">
        <f t="shared" si="152"/>
        <v>58,9375575227596+45,9406662545267i</v>
      </c>
      <c r="BJ167" s="20">
        <f t="shared" si="200"/>
        <v>37.469594479463268</v>
      </c>
      <c r="BK167" s="43">
        <f t="shared" si="153"/>
        <v>37.93571376466506</v>
      </c>
      <c r="BL167">
        <f t="shared" si="201"/>
        <v>27.462126268501304</v>
      </c>
      <c r="BM167" s="43">
        <f t="shared" si="202"/>
        <v>37.536441106103211</v>
      </c>
    </row>
    <row r="168" spans="14:65" x14ac:dyDescent="0.25">
      <c r="N168" s="9">
        <v>50</v>
      </c>
      <c r="O168" s="34">
        <f t="shared" si="154"/>
        <v>316.22776601683825</v>
      </c>
      <c r="P168" s="33" t="str">
        <f t="shared" si="155"/>
        <v>54,631621870174</v>
      </c>
      <c r="Q168" s="4" t="str">
        <f t="shared" si="156"/>
        <v>1+15,8382179029892i</v>
      </c>
      <c r="R168" s="4">
        <f t="shared" si="168"/>
        <v>15.869755711496243</v>
      </c>
      <c r="S168" s="4">
        <f t="shared" si="169"/>
        <v>1.5077416096806617</v>
      </c>
      <c r="T168" s="4" t="str">
        <f t="shared" si="157"/>
        <v>1+0,0397383530631844i</v>
      </c>
      <c r="U168" s="4">
        <f t="shared" si="170"/>
        <v>1.0007892568888688</v>
      </c>
      <c r="V168" s="4">
        <f t="shared" si="171"/>
        <v>3.9717455429117983E-2</v>
      </c>
      <c r="W168" t="str">
        <f t="shared" si="158"/>
        <v>1-0,00790661859500961i</v>
      </c>
      <c r="X168" s="4">
        <f t="shared" si="172"/>
        <v>1.0000312568203091</v>
      </c>
      <c r="Y168" s="4">
        <f t="shared" si="173"/>
        <v>-7.9064538414432596E-3</v>
      </c>
      <c r="Z168" t="str">
        <f t="shared" si="159"/>
        <v>0,9999996+0,00108630544588612i</v>
      </c>
      <c r="AA168" s="4">
        <f t="shared" si="174"/>
        <v>1.0000001900298228</v>
      </c>
      <c r="AB168" s="4">
        <f t="shared" si="175"/>
        <v>1.0863054531065669E-3</v>
      </c>
      <c r="AC168" s="47" t="str">
        <f t="shared" si="176"/>
        <v>0,322627015362046-3,43018429856247i</v>
      </c>
      <c r="AD168" s="20">
        <f t="shared" si="177"/>
        <v>10.744599576992783</v>
      </c>
      <c r="AE168" s="43">
        <f t="shared" si="178"/>
        <v>-84.626835415630353</v>
      </c>
      <c r="AF168" t="str">
        <f t="shared" si="160"/>
        <v>171,265703090588</v>
      </c>
      <c r="AG168" t="str">
        <f t="shared" si="161"/>
        <v>1+15,6866458814957i</v>
      </c>
      <c r="AH168">
        <f t="shared" si="179"/>
        <v>15.718487809310602</v>
      </c>
      <c r="AI168">
        <f t="shared" si="180"/>
        <v>1.5071339812790587</v>
      </c>
      <c r="AJ168" t="str">
        <f t="shared" si="162"/>
        <v>1+0,0397383530631844i</v>
      </c>
      <c r="AK168">
        <f t="shared" si="181"/>
        <v>1.0007892568888688</v>
      </c>
      <c r="AL168">
        <f t="shared" si="182"/>
        <v>3.9717455429117983E-2</v>
      </c>
      <c r="AM168" t="str">
        <f t="shared" si="163"/>
        <v>1-0,00249797395040202i</v>
      </c>
      <c r="AN168">
        <f t="shared" si="183"/>
        <v>1.0000031199320616</v>
      </c>
      <c r="AO168">
        <f t="shared" si="184"/>
        <v>-2.4979687547406894E-3</v>
      </c>
      <c r="AP168" s="41" t="str">
        <f t="shared" si="185"/>
        <v>1,09819558585701-10,84900555185i</v>
      </c>
      <c r="AQ168">
        <f t="shared" si="186"/>
        <v>20.752072577611159</v>
      </c>
      <c r="AR168" s="43">
        <f t="shared" si="187"/>
        <v>-84.219896785953708</v>
      </c>
      <c r="AS168" t="str">
        <f t="shared" si="164"/>
        <v>-0,0000166666666666667</v>
      </c>
      <c r="AT168" t="str">
        <f t="shared" si="165"/>
        <v>3,02408866810834E-06i</v>
      </c>
      <c r="AU168">
        <f t="shared" si="188"/>
        <v>3.0240886681083401E-6</v>
      </c>
      <c r="AV168">
        <f t="shared" si="189"/>
        <v>1.5707963267948966</v>
      </c>
      <c r="AW168" t="str">
        <f t="shared" si="166"/>
        <v>1+0,00947767553346645i</v>
      </c>
      <c r="AX168">
        <f t="shared" si="190"/>
        <v>1.0000449121582078</v>
      </c>
      <c r="AY168">
        <f t="shared" si="191"/>
        <v>9.4773917671456247E-3</v>
      </c>
      <c r="AZ168" t="str">
        <f t="shared" si="167"/>
        <v>1+0,655682825542543i</v>
      </c>
      <c r="BA168">
        <f t="shared" si="192"/>
        <v>1.1957926106610013</v>
      </c>
      <c r="BB168">
        <f t="shared" si="193"/>
        <v>0.58035980902605266</v>
      </c>
      <c r="BC168" s="41" t="str">
        <f t="shared" si="194"/>
        <v>-3,56111201256294+5,54505330953801i</v>
      </c>
      <c r="BD168">
        <f t="shared" si="195"/>
        <v>16.377811791023753</v>
      </c>
      <c r="BE168" s="43">
        <f t="shared" si="196"/>
        <v>122.7091531071618</v>
      </c>
      <c r="BF168" s="41" t="str">
        <f t="shared" si="197"/>
        <v>17,871643857086+14,0042545101953i</v>
      </c>
      <c r="BG168" s="20">
        <f t="shared" si="198"/>
        <v>27.122411368016529</v>
      </c>
      <c r="BH168" s="43">
        <f t="shared" si="199"/>
        <v>38.082317691531557</v>
      </c>
      <c r="BI168" s="41" t="str">
        <f t="shared" si="152"/>
        <v>56,2475166475431+44,7240770629315i</v>
      </c>
      <c r="BJ168" s="20">
        <f t="shared" si="200"/>
        <v>37.129884368634912</v>
      </c>
      <c r="BK168" s="43">
        <f t="shared" si="153"/>
        <v>38.489256321208089</v>
      </c>
      <c r="BL168">
        <f t="shared" si="201"/>
        <v>27.122411368016529</v>
      </c>
      <c r="BM168" s="43">
        <f t="shared" si="202"/>
        <v>38.082317691531557</v>
      </c>
    </row>
    <row r="169" spans="14:65" x14ac:dyDescent="0.25">
      <c r="N169" s="9">
        <v>51</v>
      </c>
      <c r="O169" s="34">
        <f t="shared" si="154"/>
        <v>323.59365692962825</v>
      </c>
      <c r="P169" s="33" t="str">
        <f t="shared" si="155"/>
        <v>54,631621870174</v>
      </c>
      <c r="Q169" s="4" t="str">
        <f t="shared" si="156"/>
        <v>1+16,2071373903444i</v>
      </c>
      <c r="R169" s="4">
        <f t="shared" si="168"/>
        <v>16.2379586891179</v>
      </c>
      <c r="S169" s="4">
        <f t="shared" si="169"/>
        <v>1.5091732373090869</v>
      </c>
      <c r="T169" s="4" t="str">
        <f t="shared" si="157"/>
        <v>1+0,040663978214335i</v>
      </c>
      <c r="U169" s="4">
        <f t="shared" si="170"/>
        <v>1.0008264380621728</v>
      </c>
      <c r="V169" s="4">
        <f t="shared" si="171"/>
        <v>4.0641586994529445E-2</v>
      </c>
      <c r="W169" t="str">
        <f t="shared" si="158"/>
        <v>1-0,00809078740091003i</v>
      </c>
      <c r="X169" s="4">
        <f t="shared" si="172"/>
        <v>1.0000327298847607</v>
      </c>
      <c r="Y169" s="4">
        <f t="shared" si="173"/>
        <v>-8.0906108645951314E-3</v>
      </c>
      <c r="Z169" t="str">
        <f t="shared" si="159"/>
        <v>0,999999581148581+0,00111160875025168i</v>
      </c>
      <c r="AA169" s="4">
        <f t="shared" si="174"/>
        <v>1.0000001989856557</v>
      </c>
      <c r="AB169" s="4">
        <f t="shared" si="175"/>
        <v>1.1116087579885264E-3</v>
      </c>
      <c r="AC169" s="47" t="str">
        <f t="shared" si="176"/>
        <v>0,312919778859498-3,35275800285612i</v>
      </c>
      <c r="AD169" s="20">
        <f t="shared" si="177"/>
        <v>10.545711172146353</v>
      </c>
      <c r="AE169" s="43">
        <f t="shared" si="178"/>
        <v>-84.667913990932306</v>
      </c>
      <c r="AF169" t="str">
        <f t="shared" si="160"/>
        <v>171,265703090588</v>
      </c>
      <c r="AG169" t="str">
        <f t="shared" si="161"/>
        <v>1+16,0520348029243i</v>
      </c>
      <c r="AH169">
        <f t="shared" si="179"/>
        <v>16.083153338642674</v>
      </c>
      <c r="AI169">
        <f t="shared" si="180"/>
        <v>1.508579333058508</v>
      </c>
      <c r="AJ169" t="str">
        <f t="shared" si="162"/>
        <v>1+0,040663978214335i</v>
      </c>
      <c r="AK169">
        <f t="shared" si="181"/>
        <v>1.0008264380621728</v>
      </c>
      <c r="AL169">
        <f t="shared" si="182"/>
        <v>4.0641586994529445E-2</v>
      </c>
      <c r="AM169" t="str">
        <f t="shared" si="163"/>
        <v>1-0,00255615923834626i</v>
      </c>
      <c r="AN169">
        <f t="shared" si="183"/>
        <v>1.0000032669696892</v>
      </c>
      <c r="AO169">
        <f t="shared" si="184"/>
        <v>-2.5561536710958228E-3</v>
      </c>
      <c r="AP169" s="41" t="str">
        <f t="shared" si="185"/>
        <v>1,06719154556553-10,6040334206329i</v>
      </c>
      <c r="AQ169">
        <f t="shared" si="186"/>
        <v>20.553187745874059</v>
      </c>
      <c r="AR169" s="43">
        <f t="shared" si="187"/>
        <v>-84.253094254553403</v>
      </c>
      <c r="AS169" t="str">
        <f t="shared" si="164"/>
        <v>-0,0000166666666666667</v>
      </c>
      <c r="AT169" t="str">
        <f t="shared" si="165"/>
        <v>0,0000030945287421109i</v>
      </c>
      <c r="AU169">
        <f t="shared" si="188"/>
        <v>3.0945287421109E-6</v>
      </c>
      <c r="AV169">
        <f t="shared" si="189"/>
        <v>1.5707963267948966</v>
      </c>
      <c r="AW169" t="str">
        <f t="shared" si="166"/>
        <v>1+0,00969843895650696i</v>
      </c>
      <c r="AX169">
        <f t="shared" si="190"/>
        <v>1.0000470287532448</v>
      </c>
      <c r="AY169">
        <f t="shared" si="191"/>
        <v>9.6981348961882857E-3</v>
      </c>
      <c r="AZ169" t="str">
        <f t="shared" si="167"/>
        <v>1+0,670955640536528i</v>
      </c>
      <c r="BA169">
        <f t="shared" si="192"/>
        <v>1.2042348074888811</v>
      </c>
      <c r="BB169">
        <f t="shared" si="193"/>
        <v>0.59096601830010376</v>
      </c>
      <c r="BC169" s="41" t="str">
        <f t="shared" si="194"/>
        <v>-3,56109693842379+5,42038677136361i</v>
      </c>
      <c r="BD169">
        <f t="shared" si="195"/>
        <v>16.238899619586245</v>
      </c>
      <c r="BE169" s="43">
        <f t="shared" si="196"/>
        <v>123.30419648554675</v>
      </c>
      <c r="BF169" s="41" t="str">
        <f t="shared" si="197"/>
        <v>17,058907459796+13,6356424890748i</v>
      </c>
      <c r="BG169" s="20">
        <f t="shared" si="198"/>
        <v>26.7846107917326</v>
      </c>
      <c r="BH169" s="43">
        <f t="shared" si="199"/>
        <v>38.636282494614321</v>
      </c>
      <c r="BI169" s="41" t="str">
        <f t="shared" si="152"/>
        <v>53,677589930671+43,5465818852539i</v>
      </c>
      <c r="BJ169" s="20">
        <f t="shared" si="200"/>
        <v>36.792087365460311</v>
      </c>
      <c r="BK169" s="43">
        <f t="shared" si="153"/>
        <v>39.051102230993379</v>
      </c>
      <c r="BL169">
        <f t="shared" si="201"/>
        <v>26.7846107917326</v>
      </c>
      <c r="BM169" s="43">
        <f t="shared" si="202"/>
        <v>38.636282494614321</v>
      </c>
    </row>
    <row r="170" spans="14:65" x14ac:dyDescent="0.25">
      <c r="N170" s="9">
        <v>52</v>
      </c>
      <c r="O170" s="34">
        <f t="shared" si="154"/>
        <v>331.13112148259137</v>
      </c>
      <c r="P170" s="33" t="str">
        <f t="shared" si="155"/>
        <v>54,631621870174</v>
      </c>
      <c r="Q170" s="4" t="str">
        <f t="shared" si="156"/>
        <v>1+16,5846501164709i</v>
      </c>
      <c r="R170" s="4">
        <f t="shared" si="168"/>
        <v>16.614771123484015</v>
      </c>
      <c r="S170" s="4">
        <f t="shared" si="169"/>
        <v>1.5105725215498391</v>
      </c>
      <c r="T170" s="4" t="str">
        <f t="shared" si="157"/>
        <v>1+0,0416111639449864i</v>
      </c>
      <c r="U170" s="4">
        <f t="shared" si="170"/>
        <v>1.0008653700497667</v>
      </c>
      <c r="V170" s="4">
        <f t="shared" si="171"/>
        <v>4.1587172440944738E-2</v>
      </c>
      <c r="W170" t="str">
        <f t="shared" si="158"/>
        <v>1-0,00827924604938468i</v>
      </c>
      <c r="X170" s="4">
        <f t="shared" si="172"/>
        <v>1.0000342723702753</v>
      </c>
      <c r="Y170" s="4">
        <f t="shared" si="173"/>
        <v>-8.2790568876653179E-3</v>
      </c>
      <c r="Z170" t="str">
        <f t="shared" si="159"/>
        <v>0,999999561408722+0,00113750144429052i</v>
      </c>
      <c r="AA170" s="4">
        <f t="shared" si="174"/>
        <v>1.0000002083635644</v>
      </c>
      <c r="AB170" s="4">
        <f t="shared" si="175"/>
        <v>1.1375014525806977E-3</v>
      </c>
      <c r="AC170" s="47" t="str">
        <f t="shared" si="176"/>
        <v>0,303646194577312-3,27705565098802i</v>
      </c>
      <c r="AD170" s="20">
        <f t="shared" si="177"/>
        <v>10.346803744158921</v>
      </c>
      <c r="AE170" s="43">
        <f t="shared" si="178"/>
        <v>-84.70618972092629</v>
      </c>
      <c r="AF170" t="str">
        <f t="shared" si="160"/>
        <v>171,265703090588</v>
      </c>
      <c r="AG170" t="str">
        <f t="shared" si="161"/>
        <v>1+16,4259347256793i</v>
      </c>
      <c r="AH170">
        <f t="shared" si="179"/>
        <v>16.456346241261368</v>
      </c>
      <c r="AI170">
        <f t="shared" si="180"/>
        <v>1.5099920361676467</v>
      </c>
      <c r="AJ170" t="str">
        <f t="shared" si="162"/>
        <v>1+0,0416111639449864i</v>
      </c>
      <c r="AK170">
        <f t="shared" si="181"/>
        <v>1.0008653700497667</v>
      </c>
      <c r="AL170">
        <f t="shared" si="182"/>
        <v>4.1587172440944738E-2</v>
      </c>
      <c r="AM170" t="str">
        <f t="shared" si="163"/>
        <v>1-0,00261569983575344i</v>
      </c>
      <c r="AN170">
        <f t="shared" si="183"/>
        <v>1.0000034209369639</v>
      </c>
      <c r="AO170">
        <f t="shared" si="184"/>
        <v>-2.6156938703382217E-3</v>
      </c>
      <c r="AP170" s="41" t="str">
        <f t="shared" si="185"/>
        <v>1,03757236869509-10,3645104233424i</v>
      </c>
      <c r="AQ170">
        <f t="shared" si="186"/>
        <v>20.35428268128673</v>
      </c>
      <c r="AR170" s="43">
        <f t="shared" si="187"/>
        <v>-84.283269527291409</v>
      </c>
      <c r="AS170" t="str">
        <f t="shared" si="164"/>
        <v>-0,0000166666666666667</v>
      </c>
      <c r="AT170" t="str">
        <f t="shared" si="165"/>
        <v>3,16660957621346E-06i</v>
      </c>
      <c r="AU170">
        <f t="shared" si="188"/>
        <v>3.1666095762134598E-6</v>
      </c>
      <c r="AV170">
        <f t="shared" si="189"/>
        <v>1.5707963267948966</v>
      </c>
      <c r="AW170" t="str">
        <f t="shared" si="166"/>
        <v>1+0,00992434462025628i</v>
      </c>
      <c r="AX170">
        <f t="shared" si="190"/>
        <v>1.0000492450955312</v>
      </c>
      <c r="AY170">
        <f t="shared" si="191"/>
        <v>9.9240188146213527E-3</v>
      </c>
      <c r="AZ170" t="str">
        <f t="shared" si="167"/>
        <v>1+0,686584205092276i</v>
      </c>
      <c r="BA170">
        <f t="shared" si="192"/>
        <v>1.213011900470145</v>
      </c>
      <c r="BB170">
        <f t="shared" si="193"/>
        <v>0.60166521419518559</v>
      </c>
      <c r="BC170" s="41" t="str">
        <f t="shared" si="194"/>
        <v>-3,56108115399914+5,29859418022039i</v>
      </c>
      <c r="BD170">
        <f t="shared" si="195"/>
        <v>16.101958081763254</v>
      </c>
      <c r="BE170" s="43">
        <f t="shared" si="196"/>
        <v>123.9042730593326</v>
      </c>
      <c r="BF170" s="41" t="str">
        <f t="shared" si="197"/>
        <v>16,2824792595906+13,2787590787732i</v>
      </c>
      <c r="BG170" s="20">
        <f t="shared" si="198"/>
        <v>26.448761825922151</v>
      </c>
      <c r="BH170" s="43">
        <f t="shared" si="199"/>
        <v>39.198083338406313</v>
      </c>
      <c r="BI170" s="41" t="str">
        <f t="shared" si="152"/>
        <v>51,2224552018853+42,4065376533176i</v>
      </c>
      <c r="BJ170" s="20">
        <f t="shared" si="200"/>
        <v>36.456240763049991</v>
      </c>
      <c r="BK170" s="43">
        <f t="shared" si="153"/>
        <v>39.621003532041193</v>
      </c>
      <c r="BL170">
        <f t="shared" si="201"/>
        <v>26.448761825922151</v>
      </c>
      <c r="BM170" s="43">
        <f t="shared" si="202"/>
        <v>39.198083338406313</v>
      </c>
    </row>
    <row r="171" spans="14:65" x14ac:dyDescent="0.25">
      <c r="N171" s="9">
        <v>53</v>
      </c>
      <c r="O171" s="34">
        <f t="shared" si="154"/>
        <v>338.84415613920277</v>
      </c>
      <c r="P171" s="33" t="str">
        <f t="shared" si="155"/>
        <v>54,631621870174</v>
      </c>
      <c r="Q171" s="4" t="str">
        <f t="shared" si="156"/>
        <v>1+16,9709562436128i</v>
      </c>
      <c r="R171" s="4">
        <f t="shared" si="168"/>
        <v>17.000392813774045</v>
      </c>
      <c r="S171" s="4">
        <f t="shared" si="169"/>
        <v>1.5119401823912184</v>
      </c>
      <c r="T171" s="4" t="str">
        <f t="shared" si="157"/>
        <v>1+0,04258041246555i</v>
      </c>
      <c r="U171" s="4">
        <f t="shared" si="170"/>
        <v>1.0009061352223476</v>
      </c>
      <c r="V171" s="4">
        <f t="shared" si="171"/>
        <v>4.2554706362603389E-2</v>
      </c>
      <c r="W171" t="str">
        <f t="shared" si="158"/>
        <v>1-0,00847209446370343i</v>
      </c>
      <c r="X171" s="4">
        <f t="shared" si="172"/>
        <v>1.0000358875483428</v>
      </c>
      <c r="Y171" s="4">
        <f t="shared" si="173"/>
        <v>-8.4718917736621695E-3</v>
      </c>
      <c r="Z171" t="str">
        <f t="shared" si="159"/>
        <v>0,999999540738551+0,00116399725665172i</v>
      </c>
      <c r="AA171" s="4">
        <f t="shared" si="174"/>
        <v>1.0000002181834393</v>
      </c>
      <c r="AB171" s="4">
        <f t="shared" si="175"/>
        <v>1.1639972655348042E-3</v>
      </c>
      <c r="AC171" s="47" t="str">
        <f t="shared" si="176"/>
        <v>0,294787028254866-3,20304066529823i</v>
      </c>
      <c r="AD171" s="20">
        <f t="shared" si="177"/>
        <v>10.147879589425104</v>
      </c>
      <c r="AE171" s="43">
        <f t="shared" si="178"/>
        <v>-84.741682028063408</v>
      </c>
      <c r="AF171" t="str">
        <f t="shared" si="160"/>
        <v>171,265703090588</v>
      </c>
      <c r="AG171" t="str">
        <f t="shared" si="161"/>
        <v>1+16,8085438964486i</v>
      </c>
      <c r="AH171">
        <f t="shared" si="179"/>
        <v>16.838264397462094</v>
      </c>
      <c r="AI171">
        <f t="shared" si="180"/>
        <v>1.5113728170726362</v>
      </c>
      <c r="AJ171" t="str">
        <f t="shared" si="162"/>
        <v>1+0,04258041246555i</v>
      </c>
      <c r="AK171">
        <f t="shared" si="181"/>
        <v>1.0009061352223476</v>
      </c>
      <c r="AL171">
        <f t="shared" si="182"/>
        <v>4.2554706362603389E-2</v>
      </c>
      <c r="AM171" t="str">
        <f t="shared" si="163"/>
        <v>1-0,00267662731183641i</v>
      </c>
      <c r="AN171">
        <f t="shared" si="183"/>
        <v>1.0000035821604674</v>
      </c>
      <c r="AO171">
        <f t="shared" si="184"/>
        <v>-2.6766209197800765E-3</v>
      </c>
      <c r="AP171" s="41" t="str">
        <f t="shared" si="185"/>
        <v>1,00927664922968-10,1303210419111i</v>
      </c>
      <c r="AQ171">
        <f t="shared" si="186"/>
        <v>20.155359684581441</v>
      </c>
      <c r="AR171" s="43">
        <f t="shared" si="187"/>
        <v>-84.310437698124005</v>
      </c>
      <c r="AS171" t="str">
        <f t="shared" si="164"/>
        <v>-0,0000166666666666667</v>
      </c>
      <c r="AT171" t="str">
        <f t="shared" si="165"/>
        <v>3,24036938862836E-06i</v>
      </c>
      <c r="AU171">
        <f t="shared" si="188"/>
        <v>3.2403693886283598E-6</v>
      </c>
      <c r="AV171">
        <f t="shared" si="189"/>
        <v>1.5707963267948966</v>
      </c>
      <c r="AW171" t="str">
        <f t="shared" si="166"/>
        <v>1+0,0101555123028874i</v>
      </c>
      <c r="AX171">
        <f t="shared" si="190"/>
        <v>1.0000515658855467</v>
      </c>
      <c r="AY171">
        <f t="shared" si="191"/>
        <v>1.0155163196832032E-2</v>
      </c>
      <c r="AZ171" t="str">
        <f t="shared" si="167"/>
        <v>1+0,702576805681575i</v>
      </c>
      <c r="BA171">
        <f t="shared" si="192"/>
        <v>1.2221350857747786</v>
      </c>
      <c r="BB171">
        <f t="shared" si="193"/>
        <v>0.61245327141248262</v>
      </c>
      <c r="BC171" s="41" t="str">
        <f t="shared" si="194"/>
        <v>-3,56106462582742+5,17961095907896i</v>
      </c>
      <c r="BD171">
        <f t="shared" si="195"/>
        <v>15.967020937633897</v>
      </c>
      <c r="BE171" s="43">
        <f t="shared" si="196"/>
        <v>124.50913960947048</v>
      </c>
      <c r="BF171" s="41" t="str">
        <f t="shared" si="197"/>
        <v>15,5407488738831+12,9331169304235i</v>
      </c>
      <c r="BG171" s="20">
        <f t="shared" si="198"/>
        <v>26.114900527059014</v>
      </c>
      <c r="BH171" s="43">
        <f t="shared" si="199"/>
        <v>39.767457581407086</v>
      </c>
      <c r="BI171" s="41" t="str">
        <f t="shared" si="152"/>
        <v>48,8770225144255+41,3023883037173i</v>
      </c>
      <c r="BJ171" s="20">
        <f t="shared" si="200"/>
        <v>36.122380622215339</v>
      </c>
      <c r="BK171" s="43">
        <f t="shared" si="153"/>
        <v>40.19870191134644</v>
      </c>
      <c r="BL171">
        <f t="shared" si="201"/>
        <v>26.114900527059014</v>
      </c>
      <c r="BM171" s="43">
        <f t="shared" si="202"/>
        <v>39.767457581407086</v>
      </c>
    </row>
    <row r="172" spans="14:65" x14ac:dyDescent="0.25">
      <c r="N172" s="9">
        <v>54</v>
      </c>
      <c r="O172" s="34">
        <f t="shared" si="154"/>
        <v>346.73685045253183</v>
      </c>
      <c r="P172" s="33" t="str">
        <f t="shared" si="155"/>
        <v>54,631621870174</v>
      </c>
      <c r="Q172" s="4" t="str">
        <f t="shared" si="156"/>
        <v>1+17,3662605963923i</v>
      </c>
      <c r="R172" s="4">
        <f t="shared" si="168"/>
        <v>17.395028229405316</v>
      </c>
      <c r="S172" s="4">
        <f t="shared" si="169"/>
        <v>1.5132769245079059</v>
      </c>
      <c r="T172" s="4" t="str">
        <f t="shared" si="157"/>
        <v>1+0,0435722376844214i</v>
      </c>
      <c r="U172" s="4">
        <f t="shared" si="170"/>
        <v>1.0009488198188894</v>
      </c>
      <c r="V172" s="4">
        <f t="shared" si="171"/>
        <v>4.3544694508831694E-2</v>
      </c>
      <c r="W172" t="str">
        <f t="shared" si="158"/>
        <v>1-0,00866943489464829i</v>
      </c>
      <c r="X172" s="4">
        <f t="shared" si="172"/>
        <v>1.0000375788446114</v>
      </c>
      <c r="Y172" s="4">
        <f t="shared" si="173"/>
        <v>-8.6692177087968805E-3</v>
      </c>
      <c r="Z172" t="str">
        <f t="shared" si="159"/>
        <v>0,999999519094226+0,00119111023576572i</v>
      </c>
      <c r="AA172" s="4">
        <f t="shared" si="174"/>
        <v>1.0000002284661125</v>
      </c>
      <c r="AB172" s="4">
        <f t="shared" si="175"/>
        <v>1.1911102452841135E-3</v>
      </c>
      <c r="AC172" s="47" t="str">
        <f t="shared" si="176"/>
        <v>0,286323886547832-3,1306771279074i</v>
      </c>
      <c r="AD172" s="20">
        <f t="shared" si="177"/>
        <v>9.9489409700387768</v>
      </c>
      <c r="AE172" s="43">
        <f t="shared" si="178"/>
        <v>-84.77440896968146</v>
      </c>
      <c r="AF172" t="str">
        <f t="shared" si="160"/>
        <v>171,265703090588</v>
      </c>
      <c r="AG172" t="str">
        <f t="shared" si="161"/>
        <v>1+17,2000651796793i</v>
      </c>
      <c r="AH172">
        <f t="shared" si="179"/>
        <v>17.229110313223266</v>
      </c>
      <c r="AI172">
        <f t="shared" si="180"/>
        <v>1.5127223868096045</v>
      </c>
      <c r="AJ172" t="str">
        <f t="shared" si="162"/>
        <v>1+0,0435722376844214i</v>
      </c>
      <c r="AK172">
        <f t="shared" si="181"/>
        <v>1.0009488198188894</v>
      </c>
      <c r="AL172">
        <f t="shared" si="182"/>
        <v>4.3544694508831694E-2</v>
      </c>
      <c r="AM172" t="str">
        <f t="shared" si="163"/>
        <v>1-0,00273897397114947i</v>
      </c>
      <c r="AN172">
        <f t="shared" si="183"/>
        <v>1.0000037509821724</v>
      </c>
      <c r="AO172">
        <f t="shared" si="184"/>
        <v>-2.7389671219390961E-3</v>
      </c>
      <c r="AP172" s="41" t="str">
        <f t="shared" si="185"/>
        <v>0,982245664301637-9,90135182910863i</v>
      </c>
      <c r="AQ172">
        <f t="shared" si="186"/>
        <v>19.956421019692971</v>
      </c>
      <c r="AR172" s="43">
        <f t="shared" si="187"/>
        <v>-84.334612379916393</v>
      </c>
      <c r="AS172" t="str">
        <f t="shared" si="164"/>
        <v>-0,0000166666666666667</v>
      </c>
      <c r="AT172" t="str">
        <f t="shared" si="165"/>
        <v>3,31584728778447E-06i</v>
      </c>
      <c r="AU172">
        <f t="shared" si="188"/>
        <v>3.31584728778447E-6</v>
      </c>
      <c r="AV172">
        <f t="shared" si="189"/>
        <v>1.5707963267948966</v>
      </c>
      <c r="AW172" t="str">
        <f t="shared" si="166"/>
        <v>1+0,0103920645725657i</v>
      </c>
      <c r="AX172">
        <f t="shared" si="190"/>
        <v>1.0000539960452537</v>
      </c>
      <c r="AY172">
        <f t="shared" si="191"/>
        <v>1.0391690499778629E-2</v>
      </c>
      <c r="AZ172" t="str">
        <f t="shared" si="167"/>
        <v>1+0,718941921792953i</v>
      </c>
      <c r="BA172">
        <f t="shared" si="192"/>
        <v>1.2316158032890552</v>
      </c>
      <c r="BB172">
        <f t="shared" si="193"/>
        <v>0.62332586569787574</v>
      </c>
      <c r="BC172" s="41" t="str">
        <f t="shared" si="194"/>
        <v>-3,56104731887142+5,06337402040454i</v>
      </c>
      <c r="BD172">
        <f t="shared" si="195"/>
        <v>15.834120642442866</v>
      </c>
      <c r="BE172" s="43">
        <f t="shared" si="196"/>
        <v>125.11854135818308</v>
      </c>
      <c r="BF172" s="41" t="str">
        <f t="shared" si="197"/>
        <v>14,832176327201+12,5982543211543i</v>
      </c>
      <c r="BG172" s="20">
        <f t="shared" si="198"/>
        <v>25.783061612481642</v>
      </c>
      <c r="BH172" s="43">
        <f t="shared" si="199"/>
        <v>40.344132388501748</v>
      </c>
      <c r="BI172" s="41" t="str">
        <f t="shared" si="152"/>
        <v>46,6364243290592+40,2326595625298i</v>
      </c>
      <c r="BJ172" s="20">
        <f t="shared" si="200"/>
        <v>35.790541662135837</v>
      </c>
      <c r="BK172" s="43">
        <f t="shared" si="153"/>
        <v>40.783928978266673</v>
      </c>
      <c r="BL172">
        <f t="shared" si="201"/>
        <v>25.783061612481642</v>
      </c>
      <c r="BM172" s="43">
        <f t="shared" si="202"/>
        <v>40.344132388501748</v>
      </c>
    </row>
    <row r="173" spans="14:65" x14ac:dyDescent="0.25">
      <c r="N173" s="9">
        <v>55</v>
      </c>
      <c r="O173" s="34">
        <f t="shared" si="154"/>
        <v>354.81338923357566</v>
      </c>
      <c r="P173" s="33" t="str">
        <f t="shared" si="155"/>
        <v>54,631621870174</v>
      </c>
      <c r="Q173" s="4" t="str">
        <f t="shared" si="156"/>
        <v>1+17,7707727704096i</v>
      </c>
      <c r="R173" s="4">
        <f t="shared" si="168"/>
        <v>17.798886618480701</v>
      </c>
      <c r="S173" s="4">
        <f t="shared" si="169"/>
        <v>1.5145834375386811</v>
      </c>
      <c r="T173" s="4" t="str">
        <f t="shared" si="157"/>
        <v>1+0,0445871654804598i</v>
      </c>
      <c r="U173" s="4">
        <f t="shared" si="170"/>
        <v>1.00099351412763</v>
      </c>
      <c r="V173" s="4">
        <f t="shared" si="171"/>
        <v>4.4557654017914158E-2</v>
      </c>
      <c r="W173" t="str">
        <f t="shared" si="158"/>
        <v>1-0,00887137197472783i</v>
      </c>
      <c r="X173" s="4">
        <f t="shared" si="172"/>
        <v>1.0000393498461517</v>
      </c>
      <c r="Y173" s="4">
        <f t="shared" si="173"/>
        <v>-8.8711392563897828E-3</v>
      </c>
      <c r="Z173" t="str">
        <f t="shared" si="159"/>
        <v>0,999999496429835+0,00121885475729294i</v>
      </c>
      <c r="AA173" s="4">
        <f t="shared" si="174"/>
        <v>1.0000002392333929</v>
      </c>
      <c r="AB173" s="4">
        <f t="shared" si="175"/>
        <v>1.2188547674920796E-3</v>
      </c>
      <c r="AC173" s="47" t="str">
        <f t="shared" si="176"/>
        <v>0,278239181333442-3,05992977705021i</v>
      </c>
      <c r="AD173" s="20">
        <f t="shared" si="177"/>
        <v>9.7499901184245523</v>
      </c>
      <c r="AE173" s="43">
        <f t="shared" si="178"/>
        <v>-84.804387244032597</v>
      </c>
      <c r="AF173" t="str">
        <f t="shared" si="160"/>
        <v>171,265703090588</v>
      </c>
      <c r="AG173" t="str">
        <f t="shared" si="161"/>
        <v>1+17,6007061651381i</v>
      </c>
      <c r="AH173">
        <f t="shared" si="179"/>
        <v>17.629091227613813</v>
      </c>
      <c r="AI173">
        <f t="shared" si="180"/>
        <v>1.514041441262985</v>
      </c>
      <c r="AJ173" t="str">
        <f t="shared" si="162"/>
        <v>1+0,0445871654804598i</v>
      </c>
      <c r="AK173">
        <f t="shared" si="181"/>
        <v>1.00099351412763</v>
      </c>
      <c r="AL173">
        <f t="shared" si="182"/>
        <v>4.4557654017914158E-2</v>
      </c>
      <c r="AM173" t="str">
        <f t="shared" si="163"/>
        <v>1-0,00280277287071664i</v>
      </c>
      <c r="AN173">
        <f t="shared" si="183"/>
        <v>1.0000039277601687</v>
      </c>
      <c r="AO173">
        <f t="shared" si="184"/>
        <v>-2.8027655316570561E-3</v>
      </c>
      <c r="AP173" s="41" t="str">
        <f t="shared" si="185"/>
        <v>0,956423260437278-9,67749139793905i</v>
      </c>
      <c r="AQ173">
        <f t="shared" si="186"/>
        <v>19.757468918388643</v>
      </c>
      <c r="AR173" s="43">
        <f t="shared" si="187"/>
        <v>-84.355805707971456</v>
      </c>
      <c r="AS173" t="str">
        <f t="shared" si="164"/>
        <v>-0,0000166666666666667</v>
      </c>
      <c r="AT173" t="str">
        <f t="shared" si="165"/>
        <v>0,000003393083293063i</v>
      </c>
      <c r="AU173">
        <f t="shared" si="188"/>
        <v>3.3930832930629998E-6</v>
      </c>
      <c r="AV173">
        <f t="shared" si="189"/>
        <v>1.5707963267948966</v>
      </c>
      <c r="AW173" t="str">
        <f t="shared" si="166"/>
        <v>1+0,0106341268524355i</v>
      </c>
      <c r="AX173">
        <f t="shared" si="190"/>
        <v>1.0000565407285298</v>
      </c>
      <c r="AY173">
        <f t="shared" si="191"/>
        <v>1.0633726027446513E-2</v>
      </c>
      <c r="AZ173" t="str">
        <f t="shared" si="167"/>
        <v>1+0,735688230427587i</v>
      </c>
      <c r="BA173">
        <f t="shared" si="192"/>
        <v>1.2414657354875624</v>
      </c>
      <c r="BB173">
        <f t="shared" si="193"/>
        <v>0.63427847973405149</v>
      </c>
      <c r="BC173" s="41" t="str">
        <f t="shared" si="194"/>
        <v>-3,56102919644402+4,94982173270223i</v>
      </c>
      <c r="BD173">
        <f t="shared" si="195"/>
        <v>15.703288233988053</v>
      </c>
      <c r="BE173" s="43">
        <f t="shared" si="196"/>
        <v>125.73221230286413</v>
      </c>
      <c r="BF173" s="41" t="str">
        <f t="shared" si="197"/>
        <v>14,1552890626627+12,2737336217978i</v>
      </c>
      <c r="BG173" s="20">
        <f t="shared" si="198"/>
        <v>25.453278352412596</v>
      </c>
      <c r="BH173" s="43">
        <f t="shared" si="199"/>
        <v>40.927825058831672</v>
      </c>
      <c r="BI173" s="41" t="str">
        <f t="shared" si="152"/>
        <v>44,4960060849823+39,1959540565712i</v>
      </c>
      <c r="BJ173" s="20">
        <f t="shared" si="200"/>
        <v>35.460757152376708</v>
      </c>
      <c r="BK173" s="43">
        <f t="shared" si="153"/>
        <v>41.376406594892678</v>
      </c>
      <c r="BL173">
        <f t="shared" si="201"/>
        <v>25.453278352412596</v>
      </c>
      <c r="BM173" s="43">
        <f t="shared" si="202"/>
        <v>40.927825058831672</v>
      </c>
    </row>
    <row r="174" spans="14:65" x14ac:dyDescent="0.25">
      <c r="N174" s="9">
        <v>56</v>
      </c>
      <c r="O174" s="34">
        <f t="shared" si="154"/>
        <v>363.07805477010152</v>
      </c>
      <c r="P174" s="33" t="str">
        <f t="shared" si="155"/>
        <v>54,631621870174</v>
      </c>
      <c r="Q174" s="4" t="str">
        <f t="shared" si="156"/>
        <v>1+18,1847072433738i</v>
      </c>
      <c r="R174" s="4">
        <f t="shared" si="168"/>
        <v>18.212182118769064</v>
      </c>
      <c r="S174" s="4">
        <f t="shared" si="169"/>
        <v>1.5158603963624555</v>
      </c>
      <c r="T174" s="4" t="str">
        <f t="shared" si="157"/>
        <v>1+0,045625733981817i</v>
      </c>
      <c r="U174" s="4">
        <f t="shared" si="170"/>
        <v>1.0010403126754583</v>
      </c>
      <c r="V174" s="4">
        <f t="shared" si="171"/>
        <v>4.5594113654580035E-2</v>
      </c>
      <c r="W174" t="str">
        <f t="shared" si="158"/>
        <v>1-0,0090780127736549i</v>
      </c>
      <c r="X174" s="4">
        <f t="shared" si="172"/>
        <v>1.0000412043090618</v>
      </c>
      <c r="Y174" s="4">
        <f t="shared" si="173"/>
        <v>-9.0777634120179033E-3</v>
      </c>
      <c r="Z174" t="str">
        <f t="shared" si="159"/>
        <v>0,999999472697305+0,00124724553174593i</v>
      </c>
      <c r="AA174" s="4">
        <f t="shared" si="174"/>
        <v>1.0000002505081209</v>
      </c>
      <c r="AB174" s="4">
        <f t="shared" si="175"/>
        <v>1.2472455426745005E-3</v>
      </c>
      <c r="AC174" s="47" t="str">
        <f t="shared" si="176"/>
        <v>0,270516095435943-2,99076400276219i</v>
      </c>
      <c r="AD174" s="20">
        <f t="shared" si="177"/>
        <v>9.5510292419135805</v>
      </c>
      <c r="AE174" s="43">
        <f t="shared" si="178"/>
        <v>-84.83163219608825</v>
      </c>
      <c r="AF174" t="str">
        <f t="shared" si="160"/>
        <v>171,265703090588</v>
      </c>
      <c r="AG174" t="str">
        <f t="shared" si="161"/>
        <v>1+18,0106792779785i</v>
      </c>
      <c r="AH174">
        <f t="shared" si="179"/>
        <v>18.038419222709184</v>
      </c>
      <c r="AI174">
        <f t="shared" si="180"/>
        <v>1.5153306614422888</v>
      </c>
      <c r="AJ174" t="str">
        <f t="shared" si="162"/>
        <v>1+0,045625733981817i</v>
      </c>
      <c r="AK174">
        <f t="shared" si="181"/>
        <v>1.0010403126754583</v>
      </c>
      <c r="AL174">
        <f t="shared" si="182"/>
        <v>4.5594113654580035E-2</v>
      </c>
      <c r="AM174" t="str">
        <f t="shared" si="163"/>
        <v>1-0,00286805783755896i</v>
      </c>
      <c r="AN174">
        <f t="shared" si="183"/>
        <v>1.0000041128694219</v>
      </c>
      <c r="AO174">
        <f t="shared" si="184"/>
        <v>-2.86804997361668E-3</v>
      </c>
      <c r="AP174" s="41" t="str">
        <f t="shared" si="185"/>
        <v>0,931755744316315-9,45863040892927i</v>
      </c>
      <c r="AQ174">
        <f t="shared" si="186"/>
        <v>19.558505584838784</v>
      </c>
      <c r="AR174" s="43">
        <f t="shared" si="187"/>
        <v>-84.374028343284181</v>
      </c>
      <c r="AS174" t="str">
        <f t="shared" si="164"/>
        <v>-0,0000166666666666667</v>
      </c>
      <c r="AT174" t="str">
        <f t="shared" si="165"/>
        <v>3,47211835601627E-06i</v>
      </c>
      <c r="AU174">
        <f t="shared" si="188"/>
        <v>3.4721183560162701E-6</v>
      </c>
      <c r="AV174">
        <f t="shared" si="189"/>
        <v>1.5707963267948966</v>
      </c>
      <c r="AW174" t="str">
        <f t="shared" si="166"/>
        <v>1+0,0108818274871219i</v>
      </c>
      <c r="AX174">
        <f t="shared" si="190"/>
        <v>1.000059205332094</v>
      </c>
      <c r="AY174">
        <f t="shared" si="191"/>
        <v>1.0881397996781436E-2</v>
      </c>
      <c r="AZ174" t="str">
        <f t="shared" si="167"/>
        <v>1+0,752824610699981i</v>
      </c>
      <c r="BA174">
        <f t="shared" si="192"/>
        <v>1.2516968061298144</v>
      </c>
      <c r="BB174">
        <f t="shared" si="193"/>
        <v>0.64530641002625788</v>
      </c>
      <c r="BC174" s="41" t="str">
        <f t="shared" si="194"/>
        <v>-3,56101022013064+4,83889388783369i</v>
      </c>
      <c r="BD174">
        <f t="shared" si="195"/>
        <v>15.574553222179958</v>
      </c>
      <c r="BE174" s="43">
        <f t="shared" si="196"/>
        <v>126.34987560682558</v>
      </c>
      <c r="BF174" s="41" t="str">
        <f t="shared" si="197"/>
        <v>13,5086790723618+11,9591398606006i</v>
      </c>
      <c r="BG174" s="20">
        <f t="shared" si="198"/>
        <v>25.125582464093554</v>
      </c>
      <c r="BH174" s="43">
        <f t="shared" si="199"/>
        <v>41.51824341073722</v>
      </c>
      <c r="BI174" s="41" t="str">
        <f t="shared" si="152"/>
        <v>42,4513171448699+38,1909467307617i</v>
      </c>
      <c r="BJ174" s="20">
        <f t="shared" si="200"/>
        <v>35.133058807018742</v>
      </c>
      <c r="BK174" s="43">
        <f t="shared" si="153"/>
        <v>41.975847263541375</v>
      </c>
      <c r="BL174">
        <f t="shared" si="201"/>
        <v>25.125582464093554</v>
      </c>
      <c r="BM174" s="43">
        <f t="shared" si="202"/>
        <v>41.51824341073722</v>
      </c>
    </row>
    <row r="175" spans="14:65" x14ac:dyDescent="0.25">
      <c r="N175" s="9">
        <v>57</v>
      </c>
      <c r="O175" s="34">
        <f t="shared" si="154"/>
        <v>371.53522909717265</v>
      </c>
      <c r="P175" s="33" t="str">
        <f t="shared" si="155"/>
        <v>54,631621870174</v>
      </c>
      <c r="Q175" s="4" t="str">
        <f t="shared" si="156"/>
        <v>1+18,6082834888215i</v>
      </c>
      <c r="R175" s="4">
        <f t="shared" si="168"/>
        <v>18.635133871275158</v>
      </c>
      <c r="S175" s="4">
        <f t="shared" si="169"/>
        <v>1.51710846137235</v>
      </c>
      <c r="T175" s="4" t="str">
        <f t="shared" si="157"/>
        <v>1+0,0466884938512592i</v>
      </c>
      <c r="U175" s="4">
        <f t="shared" si="170"/>
        <v>1.0010893144260899</v>
      </c>
      <c r="V175" s="4">
        <f t="shared" si="171"/>
        <v>4.6654614051055844E-2</v>
      </c>
      <c r="W175" t="str">
        <f t="shared" si="158"/>
        <v>1-0,00928946685511623i</v>
      </c>
      <c r="X175" s="4">
        <f t="shared" si="172"/>
        <v>1.0000431461664303</v>
      </c>
      <c r="Y175" s="4">
        <f t="shared" si="173"/>
        <v>-9.2891996599308111E-3</v>
      </c>
      <c r="Z175" t="str">
        <f t="shared" si="159"/>
        <v>0,999999447846294+0,00127629761228909i</v>
      </c>
      <c r="AA175" s="4">
        <f t="shared" si="174"/>
        <v>1.0000002623142097</v>
      </c>
      <c r="AB175" s="4">
        <f t="shared" si="175"/>
        <v>1.2762976239992614E-3</v>
      </c>
      <c r="AC175" s="47" t="str">
        <f t="shared" si="176"/>
        <v>0,263138549724388-2,92314584198133i</v>
      </c>
      <c r="AD175" s="20">
        <f t="shared" si="177"/>
        <v>9.3520605272742845</v>
      </c>
      <c r="AE175" s="43">
        <f t="shared" si="178"/>
        <v>-84.856157823110621</v>
      </c>
      <c r="AF175" t="str">
        <f t="shared" si="160"/>
        <v>171,265703090588</v>
      </c>
      <c r="AG175" t="str">
        <f t="shared" si="161"/>
        <v>1+18,4302018913716i</v>
      </c>
      <c r="AH175">
        <f t="shared" si="179"/>
        <v>18.457311336072685</v>
      </c>
      <c r="AI175">
        <f t="shared" si="180"/>
        <v>1.5165907137570276</v>
      </c>
      <c r="AJ175" t="str">
        <f t="shared" si="162"/>
        <v>1+0,0466884938512592i</v>
      </c>
      <c r="AK175">
        <f t="shared" si="181"/>
        <v>1.0010893144260899</v>
      </c>
      <c r="AL175">
        <f t="shared" si="182"/>
        <v>4.6654614051055844E-2</v>
      </c>
      <c r="AM175" t="str">
        <f t="shared" si="163"/>
        <v>1-0,00293486348662998i</v>
      </c>
      <c r="AN175">
        <f t="shared" si="183"/>
        <v>1.0000043067025688</v>
      </c>
      <c r="AO175">
        <f t="shared" si="184"/>
        <v>-2.9348550602659716E-3</v>
      </c>
      <c r="AP175" s="41" t="str">
        <f t="shared" si="185"/>
        <v>0,908191777893877-9,24466155550395i</v>
      </c>
      <c r="AQ175">
        <f t="shared" si="186"/>
        <v>19.359533200135747</v>
      </c>
      <c r="AR175" s="43">
        <f t="shared" si="187"/>
        <v>-84.389289475509401</v>
      </c>
      <c r="AS175" t="str">
        <f t="shared" si="164"/>
        <v>-0,0000166666666666667</v>
      </c>
      <c r="AT175" t="str">
        <f t="shared" si="165"/>
        <v>3,55299438208082E-06i</v>
      </c>
      <c r="AU175">
        <f t="shared" si="188"/>
        <v>3.5529943820808199E-6</v>
      </c>
      <c r="AV175">
        <f t="shared" si="189"/>
        <v>1.5707963267948966</v>
      </c>
      <c r="AW175" t="str">
        <f t="shared" si="166"/>
        <v>1+0,0111352978107799i</v>
      </c>
      <c r="AX175">
        <f t="shared" si="190"/>
        <v>1.0000619955069461</v>
      </c>
      <c r="AY175">
        <f t="shared" si="191"/>
        <v>1.1134837605129486E-2</v>
      </c>
      <c r="AZ175" t="str">
        <f t="shared" si="167"/>
        <v>1+0,770360148545777i</v>
      </c>
      <c r="BA175">
        <f t="shared" si="192"/>
        <v>1.2623211788081001</v>
      </c>
      <c r="BB175">
        <f t="shared" si="193"/>
        <v>0.65640477477515113</v>
      </c>
      <c r="BC175" s="41" t="str">
        <f t="shared" si="194"/>
        <v>-3,56099034970791+4,73053166908829i</v>
      </c>
      <c r="BD175">
        <f t="shared" si="195"/>
        <v>15.447943481542399</v>
      </c>
      <c r="BE175" s="43">
        <f t="shared" si="196"/>
        <v>126.97124404651406</v>
      </c>
      <c r="BF175" s="41" t="str">
        <f t="shared" si="197"/>
        <v>12,8910001426518+11,6540793769135i</v>
      </c>
      <c r="BG175" s="20">
        <f t="shared" si="198"/>
        <v>24.8000040088167</v>
      </c>
      <c r="BH175" s="43">
        <f t="shared" si="199"/>
        <v>42.115086223403338</v>
      </c>
      <c r="BI175" s="41" t="str">
        <f t="shared" si="152"/>
        <v>40,4981021015503+37,2163805523979i</v>
      </c>
      <c r="BJ175" s="20">
        <f t="shared" si="200"/>
        <v>34.807476681678153</v>
      </c>
      <c r="BK175" s="43">
        <f t="shared" si="153"/>
        <v>42.581954571004665</v>
      </c>
      <c r="BL175">
        <f t="shared" si="201"/>
        <v>24.8000040088167</v>
      </c>
      <c r="BM175" s="43">
        <f t="shared" si="202"/>
        <v>42.115086223403338</v>
      </c>
    </row>
    <row r="176" spans="14:65" x14ac:dyDescent="0.25">
      <c r="N176" s="9">
        <v>58</v>
      </c>
      <c r="O176" s="34">
        <f t="shared" si="154"/>
        <v>380.18939632056163</v>
      </c>
      <c r="P176" s="33" t="str">
        <f t="shared" si="155"/>
        <v>54,631621870174</v>
      </c>
      <c r="Q176" s="4" t="str">
        <f t="shared" si="156"/>
        <v>1+19,0417260924847i</v>
      </c>
      <c r="R176" s="4">
        <f t="shared" si="168"/>
        <v>19.067966136460718</v>
      </c>
      <c r="S176" s="4">
        <f t="shared" si="169"/>
        <v>1.5183282787475887</v>
      </c>
      <c r="T176" s="4" t="str">
        <f t="shared" si="157"/>
        <v>1+0,0477760085781366i</v>
      </c>
      <c r="U176" s="4">
        <f t="shared" si="170"/>
        <v>1.0011406229874293</v>
      </c>
      <c r="V176" s="4">
        <f t="shared" si="171"/>
        <v>4.7739707951633056E-2</v>
      </c>
      <c r="W176" t="str">
        <f t="shared" si="158"/>
        <v>1-0,00950584633486476i</v>
      </c>
      <c r="X176" s="4">
        <f t="shared" si="172"/>
        <v>1.0000451795366758</v>
      </c>
      <c r="Y176" s="4">
        <f t="shared" si="173"/>
        <v>-9.5055600307638929E-3</v>
      </c>
      <c r="Z176" t="str">
        <f t="shared" si="159"/>
        <v>0,999999421824092+0,00130602640272009i</v>
      </c>
      <c r="AA176" s="4">
        <f t="shared" si="174"/>
        <v>1.0000002746767036</v>
      </c>
      <c r="AB176" s="4">
        <f t="shared" si="175"/>
        <v>1.3060264152677601E-3</v>
      </c>
      <c r="AC176" s="47" t="str">
        <f t="shared" si="176"/>
        <v>0,256091171535547-2,85704197312028i</v>
      </c>
      <c r="AD176" s="20">
        <f t="shared" si="177"/>
        <v>9.1530861452045524</v>
      </c>
      <c r="AE176" s="43">
        <f t="shared" si="178"/>
        <v>-84.87797677998239</v>
      </c>
      <c r="AF176" t="str">
        <f t="shared" si="160"/>
        <v>171,265703090588</v>
      </c>
      <c r="AG176" t="str">
        <f t="shared" si="161"/>
        <v>1+18,8594964417601i</v>
      </c>
      <c r="AH176">
        <f t="shared" si="179"/>
        <v>18.885989675861889</v>
      </c>
      <c r="AI176">
        <f t="shared" si="180"/>
        <v>1.5178222502895486</v>
      </c>
      <c r="AJ176" t="str">
        <f t="shared" si="162"/>
        <v>1+0,0477760085781366i</v>
      </c>
      <c r="AK176">
        <f t="shared" si="181"/>
        <v>1.0011406229874293</v>
      </c>
      <c r="AL176">
        <f t="shared" si="182"/>
        <v>4.7739707951633056E-2</v>
      </c>
      <c r="AM176" t="str">
        <f t="shared" si="163"/>
        <v>1-0,00300322523916911i</v>
      </c>
      <c r="AN176">
        <f t="shared" si="183"/>
        <v>1.0000045096707499</v>
      </c>
      <c r="AO176">
        <f t="shared" si="184"/>
        <v>-3.0032162101596011E-3</v>
      </c>
      <c r="AP176" s="41" t="str">
        <f t="shared" si="185"/>
        <v>0,885682277736457-9,03547954762986i</v>
      </c>
      <c r="AQ176">
        <f t="shared" si="186"/>
        <v>19.16055392677055</v>
      </c>
      <c r="AR176" s="43">
        <f t="shared" si="187"/>
        <v>-84.40159682563214</v>
      </c>
      <c r="AS176" t="str">
        <f t="shared" si="164"/>
        <v>-0,0000166666666666667</v>
      </c>
      <c r="AT176" t="str">
        <f t="shared" si="165"/>
        <v>3,63575425279619E-06i</v>
      </c>
      <c r="AU176">
        <f t="shared" si="188"/>
        <v>3.6357542527961898E-6</v>
      </c>
      <c r="AV176">
        <f t="shared" si="189"/>
        <v>1.5707963267948966</v>
      </c>
      <c r="AW176" t="str">
        <f t="shared" si="166"/>
        <v>1+0,0113946722167303i</v>
      </c>
      <c r="AX176">
        <f t="shared" si="190"/>
        <v>1.0000649171703437</v>
      </c>
      <c r="AY176">
        <f t="shared" si="191"/>
        <v>1.1394179099220301E-2</v>
      </c>
      <c r="AZ176" t="str">
        <f t="shared" si="167"/>
        <v>1+0,788304141539254i</v>
      </c>
      <c r="BA176">
        <f t="shared" si="192"/>
        <v>1.2733512553761197</v>
      </c>
      <c r="BB176">
        <f t="shared" si="193"/>
        <v>0.66756852272130485</v>
      </c>
      <c r="BC176" s="41" t="str">
        <f t="shared" si="194"/>
        <v>-3,56096954305867+4,62467761999138i</v>
      </c>
      <c r="BD176">
        <f t="shared" si="195"/>
        <v>15.323485147430155</v>
      </c>
      <c r="BE176" s="43">
        <f t="shared" si="196"/>
        <v>127.59602051431237</v>
      </c>
      <c r="BF176" s="41" t="str">
        <f t="shared" si="197"/>
        <v>12,3009652103811+11,3581785591994i</v>
      </c>
      <c r="BG176" s="20">
        <f t="shared" si="198"/>
        <v>24.47657129263472</v>
      </c>
      <c r="BH176" s="43">
        <f t="shared" si="199"/>
        <v>42.718043734330003</v>
      </c>
      <c r="BI176" s="41" t="str">
        <f t="shared" si="152"/>
        <v>38,6322924339673+36,2710624843102i</v>
      </c>
      <c r="BJ176" s="20">
        <f t="shared" si="200"/>
        <v>34.484039074200702</v>
      </c>
      <c r="BK176" s="43">
        <f t="shared" si="153"/>
        <v>43.194423688680217</v>
      </c>
      <c r="BL176">
        <f t="shared" si="201"/>
        <v>24.47657129263472</v>
      </c>
      <c r="BM176" s="43">
        <f t="shared" si="202"/>
        <v>42.718043734330003</v>
      </c>
    </row>
    <row r="177" spans="14:65" x14ac:dyDescent="0.25">
      <c r="N177" s="9">
        <v>59</v>
      </c>
      <c r="O177" s="34">
        <f t="shared" si="154"/>
        <v>389.04514499428063</v>
      </c>
      <c r="P177" s="33" t="str">
        <f t="shared" si="155"/>
        <v>54,631621870174</v>
      </c>
      <c r="Q177" s="4" t="str">
        <f t="shared" si="156"/>
        <v>1+19,4852648713692i</v>
      </c>
      <c r="R177" s="4">
        <f t="shared" si="168"/>
        <v>19.510908413177859</v>
      </c>
      <c r="S177" s="4">
        <f t="shared" si="169"/>
        <v>1.5195204807229952</v>
      </c>
      <c r="T177" s="4" t="str">
        <f t="shared" si="157"/>
        <v>1+0,0488888547771524i</v>
      </c>
      <c r="U177" s="4">
        <f t="shared" si="170"/>
        <v>1.0011943468285374</v>
      </c>
      <c r="V177" s="4">
        <f t="shared" si="171"/>
        <v>4.8849960460682726E-2</v>
      </c>
      <c r="W177" t="str">
        <f t="shared" si="158"/>
        <v>1-0,00972726594016481i</v>
      </c>
      <c r="X177" s="4">
        <f t="shared" si="172"/>
        <v>1.0000473087322772</v>
      </c>
      <c r="Y177" s="4">
        <f t="shared" si="173"/>
        <v>-9.7269591605773711E-3</v>
      </c>
      <c r="Z177" t="str">
        <f t="shared" si="159"/>
        <v>0,999999394575501+0,00133644766563711i</v>
      </c>
      <c r="AA177" s="4">
        <f t="shared" si="174"/>
        <v>1.0000002876218244</v>
      </c>
      <c r="AB177" s="4">
        <f t="shared" si="175"/>
        <v>1.3364476790821761E-3</v>
      </c>
      <c r="AC177" s="47" t="str">
        <f t="shared" si="176"/>
        <v>0,24935926437572-2,79241971016212i</v>
      </c>
      <c r="AD177" s="20">
        <f t="shared" si="177"/>
        <v>8.9541082547948214</v>
      </c>
      <c r="AE177" s="43">
        <f t="shared" si="178"/>
        <v>-84.897100384288194</v>
      </c>
      <c r="AF177" t="str">
        <f t="shared" si="160"/>
        <v>171,265703090588</v>
      </c>
      <c r="AG177" t="str">
        <f t="shared" si="161"/>
        <v>1+19,2987905467969i</v>
      </c>
      <c r="AH177">
        <f t="shared" si="179"/>
        <v>19.324681538621473</v>
      </c>
      <c r="AI177">
        <f t="shared" si="180"/>
        <v>1.5190259090655549</v>
      </c>
      <c r="AJ177" t="str">
        <f t="shared" si="162"/>
        <v>1+0,0488888547771524i</v>
      </c>
      <c r="AK177">
        <f t="shared" si="181"/>
        <v>1.0011943468285374</v>
      </c>
      <c r="AL177">
        <f t="shared" si="182"/>
        <v>4.8849960460682726E-2</v>
      </c>
      <c r="AM177" t="str">
        <f t="shared" si="163"/>
        <v>1-0,00307317934148245i</v>
      </c>
      <c r="AN177">
        <f t="shared" si="183"/>
        <v>1.0000047222044828</v>
      </c>
      <c r="AO177">
        <f t="shared" si="184"/>
        <v>-3.0731696667269217E-3</v>
      </c>
      <c r="AP177" s="41" t="str">
        <f t="shared" si="185"/>
        <v>0,864180318425575-8,83098109389922i</v>
      </c>
      <c r="AQ177">
        <f t="shared" si="186"/>
        <v>18.961569913075095</v>
      </c>
      <c r="AR177" s="43">
        <f t="shared" si="187"/>
        <v>-84.410956648332473</v>
      </c>
      <c r="AS177" t="str">
        <f t="shared" si="164"/>
        <v>-0,0000166666666666667</v>
      </c>
      <c r="AT177" t="str">
        <f t="shared" si="165"/>
        <v>3,72044184854129E-06i</v>
      </c>
      <c r="AU177">
        <f t="shared" si="188"/>
        <v>3.7204418485412898E-6</v>
      </c>
      <c r="AV177">
        <f t="shared" si="189"/>
        <v>1.5707963267948966</v>
      </c>
      <c r="AW177" t="str">
        <f t="shared" si="166"/>
        <v>1+0,0116600882287164i</v>
      </c>
      <c r="AX177">
        <f t="shared" si="190"/>
        <v>1.0000679765183473</v>
      </c>
      <c r="AY177">
        <f t="shared" si="191"/>
        <v>1.1659559845724414E-2</v>
      </c>
      <c r="AZ177" t="str">
        <f t="shared" si="167"/>
        <v>1+0,806666103823015i</v>
      </c>
      <c r="BA177">
        <f t="shared" si="192"/>
        <v>1.284799674290511</v>
      </c>
      <c r="BB177">
        <f t="shared" si="193"/>
        <v>0.67879244293667629</v>
      </c>
      <c r="BC177" s="41" t="str">
        <f t="shared" si="194"/>
        <v>-3,56094775608289+4,52127561383361i</v>
      </c>
      <c r="BD177">
        <f t="shared" si="195"/>
        <v>15.201202516737451</v>
      </c>
      <c r="BE177" s="43">
        <f t="shared" si="196"/>
        <v>128.2238985755061</v>
      </c>
      <c r="BF177" s="41" t="str">
        <f t="shared" si="197"/>
        <v>11,7373438262071+11,0710826620489i</v>
      </c>
      <c r="BG177" s="20">
        <f t="shared" si="198"/>
        <v>24.155310771532278</v>
      </c>
      <c r="BH177" s="43">
        <f t="shared" si="199"/>
        <v>43.326798191218018</v>
      </c>
      <c r="BI177" s="41" t="str">
        <f t="shared" si="152"/>
        <v>36,8499985003237+35,3538597099834i</v>
      </c>
      <c r="BJ177" s="20">
        <f t="shared" si="200"/>
        <v>34.162772429812563</v>
      </c>
      <c r="BK177" s="43">
        <f t="shared" si="153"/>
        <v>43.812941927173611</v>
      </c>
      <c r="BL177">
        <f t="shared" si="201"/>
        <v>24.155310771532278</v>
      </c>
      <c r="BM177" s="43">
        <f t="shared" si="202"/>
        <v>43.326798191218018</v>
      </c>
    </row>
    <row r="178" spans="14:65" x14ac:dyDescent="0.25">
      <c r="N178" s="9">
        <v>60</v>
      </c>
      <c r="O178" s="34">
        <f t="shared" si="154"/>
        <v>398.10717055349761</v>
      </c>
      <c r="P178" s="33" t="str">
        <f t="shared" si="155"/>
        <v>54,631621870174</v>
      </c>
      <c r="Q178" s="4" t="str">
        <f t="shared" si="156"/>
        <v>1+19,9391349956064i</v>
      </c>
      <c r="R178" s="4">
        <f t="shared" si="168"/>
        <v>19.964195560377981</v>
      </c>
      <c r="S178" s="4">
        <f t="shared" si="169"/>
        <v>1.5206856858558979</v>
      </c>
      <c r="T178" s="4" t="str">
        <f t="shared" si="157"/>
        <v>1+0,0500276224940914i</v>
      </c>
      <c r="U178" s="4">
        <f t="shared" si="170"/>
        <v>1.0012505995066425</v>
      </c>
      <c r="V178" s="4">
        <f t="shared" si="171"/>
        <v>4.9985949294042008E-2</v>
      </c>
      <c r="W178" t="str">
        <f t="shared" si="158"/>
        <v>1-0,00995384307062189i</v>
      </c>
      <c r="X178" s="4">
        <f t="shared" si="172"/>
        <v>1.0000495382689172</v>
      </c>
      <c r="Y178" s="4">
        <f t="shared" si="173"/>
        <v>-9.9535143512509416E-3</v>
      </c>
      <c r="Z178" t="str">
        <f t="shared" si="159"/>
        <v>0,999999366042723+0,00136757753079642i</v>
      </c>
      <c r="AA178" s="4">
        <f t="shared" si="174"/>
        <v>1.00000030117703</v>
      </c>
      <c r="AB178" s="4">
        <f t="shared" si="175"/>
        <v>1.3675775452030635E-3</v>
      </c>
      <c r="AC178" s="47" t="str">
        <f t="shared" si="176"/>
        <v>0,242928778856155-2,72924699632851i</v>
      </c>
      <c r="AD178" s="20">
        <f t="shared" si="177"/>
        <v>8.7551290079701083</v>
      </c>
      <c r="AE178" s="43">
        <f t="shared" si="178"/>
        <v>-84.913538621142905</v>
      </c>
      <c r="AF178" t="str">
        <f t="shared" si="160"/>
        <v>171,265703090588</v>
      </c>
      <c r="AG178" t="str">
        <f t="shared" si="161"/>
        <v>1+19,7483171260313i</v>
      </c>
      <c r="AH178">
        <f t="shared" si="179"/>
        <v>19.77361952982562</v>
      </c>
      <c r="AI178">
        <f t="shared" si="180"/>
        <v>1.5202023143221146</v>
      </c>
      <c r="AJ178" t="str">
        <f t="shared" si="162"/>
        <v>1+0,0500276224940914i</v>
      </c>
      <c r="AK178">
        <f t="shared" si="181"/>
        <v>1.0012505995066425</v>
      </c>
      <c r="AL178">
        <f t="shared" si="182"/>
        <v>4.9985949294042008E-2</v>
      </c>
      <c r="AM178" t="str">
        <f t="shared" si="163"/>
        <v>1-0,00314476288416096i</v>
      </c>
      <c r="AN178">
        <f t="shared" si="183"/>
        <v>1.0000049447545736</v>
      </c>
      <c r="AO178">
        <f t="shared" si="184"/>
        <v>-3.1447525174764066E-3</v>
      </c>
      <c r="AP178" s="41" t="str">
        <f t="shared" si="185"/>
        <v>0,843641039885892-8,63106488220935i</v>
      </c>
      <c r="AQ178">
        <f t="shared" si="186"/>
        <v>18.762583297637718</v>
      </c>
      <c r="AR178" s="43">
        <f t="shared" si="187"/>
        <v>-84.417373734038335</v>
      </c>
      <c r="AS178" t="str">
        <f t="shared" si="164"/>
        <v>-0,0000166666666666667</v>
      </c>
      <c r="AT178" t="str">
        <f t="shared" si="165"/>
        <v>3,80710207180036E-06i</v>
      </c>
      <c r="AU178">
        <f t="shared" si="188"/>
        <v>3.8071020718003601E-6</v>
      </c>
      <c r="AV178">
        <f t="shared" si="189"/>
        <v>1.5707963267948966</v>
      </c>
      <c r="AW178" t="str">
        <f t="shared" si="166"/>
        <v>1+0,0119316865738207i</v>
      </c>
      <c r="AX178">
        <f t="shared" si="190"/>
        <v>1.000071180038949</v>
      </c>
      <c r="AY178">
        <f t="shared" si="191"/>
        <v>1.1931120403420618E-2</v>
      </c>
      <c r="AZ178" t="str">
        <f t="shared" si="167"/>
        <v>1+0,825455771152508i</v>
      </c>
      <c r="BA178">
        <f t="shared" si="192"/>
        <v>1.2966793088998458</v>
      </c>
      <c r="BB178">
        <f t="shared" si="193"/>
        <v>0.69007117552907027</v>
      </c>
      <c r="BC178" s="41" t="str">
        <f t="shared" si="194"/>
        <v>-3,56092494260429+4,42027082390463i</v>
      </c>
      <c r="BD178">
        <f t="shared" si="195"/>
        <v>15.081117953858653</v>
      </c>
      <c r="BE178" s="43">
        <f t="shared" si="196"/>
        <v>128.85456307746867</v>
      </c>
      <c r="BF178" s="41" t="str">
        <f t="shared" si="197"/>
        <v>11,198959721195+10,7924546972187i</v>
      </c>
      <c r="BG178" s="20">
        <f t="shared" si="198"/>
        <v>23.836246961828781</v>
      </c>
      <c r="BH178" s="43">
        <f t="shared" si="199"/>
        <v>43.941024456325778</v>
      </c>
      <c r="BI178" s="41" t="str">
        <f t="shared" ref="BI178:BI241" si="203">IMPRODUCT(AP178,BC178)</f>
        <v>35,1475018565235+34,4636960947514i</v>
      </c>
      <c r="BJ178" s="20">
        <f t="shared" si="200"/>
        <v>33.843701251496363</v>
      </c>
      <c r="BK178" s="43">
        <f t="shared" ref="BK178:BK241" si="204">(180/PI())*IMARGUMENT(BI178)</f>
        <v>44.437189343430376</v>
      </c>
      <c r="BL178">
        <f t="shared" si="201"/>
        <v>23.836246961828781</v>
      </c>
      <c r="BM178" s="43">
        <f t="shared" si="202"/>
        <v>43.941024456325778</v>
      </c>
    </row>
    <row r="179" spans="14:65" x14ac:dyDescent="0.25">
      <c r="N179" s="9">
        <v>61</v>
      </c>
      <c r="O179" s="34">
        <f t="shared" si="154"/>
        <v>407.38027780411272</v>
      </c>
      <c r="P179" s="33" t="str">
        <f t="shared" si="155"/>
        <v>54,631621870174</v>
      </c>
      <c r="Q179" s="4" t="str">
        <f t="shared" si="156"/>
        <v>1+20,403577113144i</v>
      </c>
      <c r="R179" s="4">
        <f t="shared" si="168"/>
        <v>20.428067921661452</v>
      </c>
      <c r="S179" s="4">
        <f t="shared" si="169"/>
        <v>1.5218244992902767</v>
      </c>
      <c r="T179" s="4" t="str">
        <f t="shared" si="157"/>
        <v>1+0,0511929155186708i</v>
      </c>
      <c r="U179" s="4">
        <f t="shared" si="170"/>
        <v>1.0013094999046508</v>
      </c>
      <c r="V179" s="4">
        <f t="shared" si="171"/>
        <v>5.1148265033683582E-2</v>
      </c>
      <c r="W179" t="str">
        <f t="shared" si="158"/>
        <v>1-0,0101856978604297i</v>
      </c>
      <c r="X179" s="4">
        <f t="shared" si="172"/>
        <v>1.0000518728750543</v>
      </c>
      <c r="Y179" s="4">
        <f t="shared" si="173"/>
        <v>-1.0185345632264468E-2</v>
      </c>
      <c r="Z179" t="str">
        <f t="shared" si="159"/>
        <v>0,999999336165237+0,0013994325036646i</v>
      </c>
      <c r="AA179" s="4">
        <f t="shared" si="174"/>
        <v>1.0000003153710737</v>
      </c>
      <c r="AB179" s="4">
        <f t="shared" si="175"/>
        <v>1.3994325191015906E-3</v>
      </c>
      <c r="AC179" s="47" t="str">
        <f t="shared" si="176"/>
        <v>0,236786284817692-2,66749239736552i</v>
      </c>
      <c r="AD179" s="20">
        <f t="shared" si="177"/>
        <v>8.5561505539186768</v>
      </c>
      <c r="AE179" s="43">
        <f t="shared" si="178"/>
        <v>-84.927300147764612</v>
      </c>
      <c r="AF179" t="str">
        <f t="shared" si="160"/>
        <v>171,265703090588</v>
      </c>
      <c r="AG179" t="str">
        <f t="shared" si="161"/>
        <v>1+20,2083145244058i</v>
      </c>
      <c r="AH179">
        <f t="shared" si="179"/>
        <v>20.233041687233051</v>
      </c>
      <c r="AI179">
        <f t="shared" si="180"/>
        <v>1.5213520767729802</v>
      </c>
      <c r="AJ179" t="str">
        <f t="shared" si="162"/>
        <v>1+0,0511929155186708i</v>
      </c>
      <c r="AK179">
        <f t="shared" si="181"/>
        <v>1.0013094999046508</v>
      </c>
      <c r="AL179">
        <f t="shared" si="182"/>
        <v>5.1148265033683582E-2</v>
      </c>
      <c r="AM179" t="str">
        <f t="shared" si="163"/>
        <v>1-0,00321801382174653i</v>
      </c>
      <c r="AN179">
        <f t="shared" si="183"/>
        <v>1.0000051777930736</v>
      </c>
      <c r="AO179">
        <f t="shared" si="184"/>
        <v>-3.2180027136470058E-3</v>
      </c>
      <c r="AP179" s="41" t="str">
        <f t="shared" si="185"/>
        <v>0,824021558497685-8,43563155918669i</v>
      </c>
      <c r="AQ179">
        <f t="shared" si="186"/>
        <v>18.563596213701235</v>
      </c>
      <c r="AR179" s="43">
        <f t="shared" si="187"/>
        <v>-84.420851410661555</v>
      </c>
      <c r="AS179" t="str">
        <f t="shared" si="164"/>
        <v>-0,0000166666666666667</v>
      </c>
      <c r="AT179" t="str">
        <f t="shared" si="165"/>
        <v>3,89578087097085E-06i</v>
      </c>
      <c r="AU179">
        <f t="shared" si="188"/>
        <v>3.89578087097085E-6</v>
      </c>
      <c r="AV179">
        <f t="shared" si="189"/>
        <v>1.5707963267948966</v>
      </c>
      <c r="AW179" t="str">
        <f t="shared" si="166"/>
        <v>1+0,0122096112570811i</v>
      </c>
      <c r="AX179">
        <f t="shared" si="190"/>
        <v>1.0000745345258266</v>
      </c>
      <c r="AY179">
        <f t="shared" si="191"/>
        <v>1.2209004597009285E-2</v>
      </c>
      <c r="AZ179" t="str">
        <f t="shared" si="167"/>
        <v>1+0,844683106058068i</v>
      </c>
      <c r="BA179">
        <f t="shared" si="192"/>
        <v>1.3090032657178152</v>
      </c>
      <c r="BB179">
        <f t="shared" si="193"/>
        <v>0.70139922321635129</v>
      </c>
      <c r="BC179" s="41" t="str">
        <f t="shared" si="194"/>
        <v>-3,56090105427287+4,32160969441559i</v>
      </c>
      <c r="BD179">
        <f t="shared" si="195"/>
        <v>14.963251802642649</v>
      </c>
      <c r="BE179" s="43">
        <f t="shared" si="196"/>
        <v>129.48769080858685</v>
      </c>
      <c r="BF179" s="41" t="str">
        <f t="shared" si="197"/>
        <v>10,68468847299+10,5219743940165i</v>
      </c>
      <c r="BG179" s="20">
        <f t="shared" si="198"/>
        <v>23.519402356561297</v>
      </c>
      <c r="BH179" s="43">
        <f t="shared" si="199"/>
        <v>44.560390660822257</v>
      </c>
      <c r="BI179" s="41" t="str">
        <f t="shared" si="203"/>
        <v>33,5212478883013+33,5995488681764i</v>
      </c>
      <c r="BJ179" s="20">
        <f t="shared" si="200"/>
        <v>33.526848016343877</v>
      </c>
      <c r="BK179" s="43">
        <f t="shared" si="204"/>
        <v>45.066839397925307</v>
      </c>
      <c r="BL179">
        <f t="shared" si="201"/>
        <v>23.519402356561297</v>
      </c>
      <c r="BM179" s="43">
        <f t="shared" si="202"/>
        <v>44.560390660822257</v>
      </c>
    </row>
    <row r="180" spans="14:65" x14ac:dyDescent="0.25">
      <c r="N180" s="9">
        <v>62</v>
      </c>
      <c r="O180" s="34">
        <f t="shared" si="154"/>
        <v>416.86938347033572</v>
      </c>
      <c r="P180" s="33" t="str">
        <f t="shared" si="155"/>
        <v>54,631621870174</v>
      </c>
      <c r="Q180" s="4" t="str">
        <f t="shared" si="156"/>
        <v>1+20,8788374773403i</v>
      </c>
      <c r="R180" s="4">
        <f t="shared" si="168"/>
        <v>20.902771452733006</v>
      </c>
      <c r="S180" s="4">
        <f t="shared" si="169"/>
        <v>1.5229375130179965</v>
      </c>
      <c r="T180" s="4" t="str">
        <f t="shared" si="157"/>
        <v>1+0,0523853517046766i</v>
      </c>
      <c r="U180" s="4">
        <f t="shared" si="170"/>
        <v>1.0013711724796268</v>
      </c>
      <c r="V180" s="4">
        <f t="shared" si="171"/>
        <v>5.2337511385562731E-2</v>
      </c>
      <c r="W180" t="str">
        <f t="shared" si="158"/>
        <v>1-0,0104229532420668i</v>
      </c>
      <c r="X180" s="4">
        <f t="shared" si="172"/>
        <v>1.0000543175019476</v>
      </c>
      <c r="Y180" s="4">
        <f t="shared" si="173"/>
        <v>-1.0422575823895044E-2</v>
      </c>
      <c r="Z180" t="str">
        <f t="shared" si="159"/>
        <v>0,999999304879668+0,0014320294741699i</v>
      </c>
      <c r="AA180" s="4">
        <f t="shared" si="174"/>
        <v>1.0000003302340625</v>
      </c>
      <c r="AB180" s="4">
        <f t="shared" si="175"/>
        <v>1.4320294907109274E-3</v>
      </c>
      <c r="AC180" s="47" t="str">
        <f t="shared" si="176"/>
        <v>0,230918944601428-2,60712509448967i</v>
      </c>
      <c r="AD180" s="20">
        <f t="shared" si="177"/>
        <v>8.3571750435165448</v>
      </c>
      <c r="AE180" s="43">
        <f t="shared" si="178"/>
        <v>-84.938392297790713</v>
      </c>
      <c r="AF180" t="str">
        <f t="shared" si="160"/>
        <v>171,265703090588</v>
      </c>
      <c r="AG180" t="str">
        <f t="shared" si="161"/>
        <v>1+20,6790266386299i</v>
      </c>
      <c r="AH180">
        <f t="shared" si="179"/>
        <v>20.703191607120992</v>
      </c>
      <c r="AI180">
        <f t="shared" si="180"/>
        <v>1.5224757938710556</v>
      </c>
      <c r="AJ180" t="str">
        <f t="shared" si="162"/>
        <v>1+0,0523853517046766i</v>
      </c>
      <c r="AK180">
        <f t="shared" si="181"/>
        <v>1.0013711724796268</v>
      </c>
      <c r="AL180">
        <f t="shared" si="182"/>
        <v>5.2337511385562731E-2</v>
      </c>
      <c r="AM180" t="str">
        <f t="shared" si="163"/>
        <v>1-0,00329297099285584i</v>
      </c>
      <c r="AN180">
        <f t="shared" si="183"/>
        <v>1.0000054218142818</v>
      </c>
      <c r="AO180">
        <f t="shared" si="184"/>
        <v>-3.2929590903162408E-3</v>
      </c>
      <c r="AP180" s="41" t="str">
        <f t="shared" si="185"/>
        <v>0,805280881856562-8,24458370849042i</v>
      </c>
      <c r="AQ180">
        <f t="shared" si="186"/>
        <v>18.364610793550526</v>
      </c>
      <c r="AR180" s="43">
        <f t="shared" si="187"/>
        <v>-84.421391545014686</v>
      </c>
      <c r="AS180" t="str">
        <f t="shared" si="164"/>
        <v>-0,0000166666666666667</v>
      </c>
      <c r="AT180" t="str">
        <f t="shared" si="165"/>
        <v>3,98652526472588E-06i</v>
      </c>
      <c r="AU180">
        <f t="shared" si="188"/>
        <v>3.9865252647258802E-6</v>
      </c>
      <c r="AV180">
        <f t="shared" si="189"/>
        <v>1.5707963267948966</v>
      </c>
      <c r="AW180" t="str">
        <f t="shared" si="166"/>
        <v>1+0,0124940096378434i</v>
      </c>
      <c r="AX180">
        <f t="shared" si="190"/>
        <v>1.0000780470927408</v>
      </c>
      <c r="AY180">
        <f t="shared" si="191"/>
        <v>1.2493359592604595E-2</v>
      </c>
      <c r="AZ180" t="str">
        <f t="shared" si="167"/>
        <v>1+0,864358303127164i</v>
      </c>
      <c r="BA180">
        <f t="shared" si="192"/>
        <v>1.3217848827191474</v>
      </c>
      <c r="BB180">
        <f t="shared" si="193"/>
        <v>0.71277096371800819</v>
      </c>
      <c r="BC180" s="41" t="str">
        <f t="shared" si="194"/>
        <v>-3,56087604046262+4,22523991209513i</v>
      </c>
      <c r="BD180">
        <f t="shared" si="195"/>
        <v>14.847622305050772</v>
      </c>
      <c r="BE180" s="43">
        <f t="shared" si="196"/>
        <v>130.12295120391869</v>
      </c>
      <c r="BF180" s="41" t="str">
        <f t="shared" si="197"/>
        <v>10,1934552679424+10,2593372246459i</v>
      </c>
      <c r="BG180" s="20">
        <f t="shared" si="198"/>
        <v>23.204797348567293</v>
      </c>
      <c r="BH180" s="43">
        <f t="shared" si="199"/>
        <v>45.184558906127847</v>
      </c>
      <c r="BI180" s="41" t="str">
        <f t="shared" si="203"/>
        <v>31,9678387456774+32,7604455136195i</v>
      </c>
      <c r="BJ180" s="20">
        <f t="shared" si="200"/>
        <v>33.212233098601295</v>
      </c>
      <c r="BK180" s="43">
        <f t="shared" si="204"/>
        <v>45.701559658903967</v>
      </c>
      <c r="BL180">
        <f t="shared" si="201"/>
        <v>23.204797348567293</v>
      </c>
      <c r="BM180" s="43">
        <f t="shared" si="202"/>
        <v>45.184558906127847</v>
      </c>
    </row>
    <row r="181" spans="14:65" x14ac:dyDescent="0.25">
      <c r="N181" s="9">
        <v>63</v>
      </c>
      <c r="O181" s="34">
        <f t="shared" si="154"/>
        <v>426.57951880159294</v>
      </c>
      <c r="P181" s="33" t="str">
        <f t="shared" si="155"/>
        <v>54,631621870174</v>
      </c>
      <c r="Q181" s="4" t="str">
        <f t="shared" si="156"/>
        <v>1+21,3651680775311i</v>
      </c>
      <c r="R181" s="4">
        <f t="shared" si="168"/>
        <v>21.388557851831756</v>
      </c>
      <c r="S181" s="4">
        <f t="shared" si="169"/>
        <v>1.5240253061369917</v>
      </c>
      <c r="T181" s="4" t="str">
        <f t="shared" si="157"/>
        <v>1+0,0536055632975582i</v>
      </c>
      <c r="U181" s="4">
        <f t="shared" si="170"/>
        <v>1.0014357475227498</v>
      </c>
      <c r="V181" s="4">
        <f t="shared" si="171"/>
        <v>5.3554305440527063E-2</v>
      </c>
      <c r="W181" t="str">
        <f t="shared" si="158"/>
        <v>1-0,010665735011477i</v>
      </c>
      <c r="X181" s="4">
        <f t="shared" si="172"/>
        <v>1.0000568773341518</v>
      </c>
      <c r="Y181" s="4">
        <f t="shared" si="173"/>
        <v>-1.0665330601862038E-2</v>
      </c>
      <c r="Z181" t="str">
        <f t="shared" si="159"/>
        <v>0,999999272119657+0,00146538572565755i</v>
      </c>
      <c r="AA181" s="4">
        <f t="shared" si="174"/>
        <v>1.0000003457975246</v>
      </c>
      <c r="AB181" s="4">
        <f t="shared" si="175"/>
        <v>1.4653857433815714E-3</v>
      </c>
      <c r="AC181" s="47" t="str">
        <f t="shared" si="176"/>
        <v>0,225314487423143-2,54811487703318i</v>
      </c>
      <c r="AD181" s="20">
        <f t="shared" si="177"/>
        <v>8.1582046337552967</v>
      </c>
      <c r="AE181" s="43">
        <f t="shared" si="178"/>
        <v>-84.946821085338996</v>
      </c>
      <c r="AF181" t="str">
        <f t="shared" si="160"/>
        <v>171,265703090588</v>
      </c>
      <c r="AG181" t="str">
        <f t="shared" si="161"/>
        <v>1+21,160703046497i</v>
      </c>
      <c r="AH181">
        <f t="shared" si="179"/>
        <v>21.18431857346437</v>
      </c>
      <c r="AI181">
        <f t="shared" si="180"/>
        <v>1.5235740500678683</v>
      </c>
      <c r="AJ181" t="str">
        <f t="shared" si="162"/>
        <v>1+0,0536055632975582i</v>
      </c>
      <c r="AK181">
        <f t="shared" si="181"/>
        <v>1.0014357475227498</v>
      </c>
      <c r="AL181">
        <f t="shared" si="182"/>
        <v>5.3554305440527063E-2</v>
      </c>
      <c r="AM181" t="str">
        <f t="shared" si="163"/>
        <v>1-0,00336967414077318i</v>
      </c>
      <c r="AN181">
        <f t="shared" si="183"/>
        <v>1.0000056773357915</v>
      </c>
      <c r="AO181">
        <f t="shared" si="184"/>
        <v>-3.3696613869761286E-3</v>
      </c>
      <c r="AP181" s="41" t="str">
        <f t="shared" si="185"/>
        <v>0,787379827046883-8,05782582812364i</v>
      </c>
      <c r="AQ181">
        <f t="shared" si="186"/>
        <v>18.165629172898917</v>
      </c>
      <c r="AR181" s="43">
        <f t="shared" si="187"/>
        <v>-84.418994543907672</v>
      </c>
      <c r="AS181" t="str">
        <f t="shared" si="164"/>
        <v>-0,0000166666666666667</v>
      </c>
      <c r="AT181" t="str">
        <f t="shared" si="165"/>
        <v>4,07938336694417E-06i</v>
      </c>
      <c r="AU181">
        <f t="shared" si="188"/>
        <v>4.0793833669441701E-6</v>
      </c>
      <c r="AV181">
        <f t="shared" si="189"/>
        <v>1.5707963267948966</v>
      </c>
      <c r="AW181" t="str">
        <f t="shared" si="166"/>
        <v>1+0,0127850325078933i</v>
      </c>
      <c r="AX181">
        <f t="shared" si="190"/>
        <v>1.0000817251886107</v>
      </c>
      <c r="AY181">
        <f t="shared" si="191"/>
        <v>1.2784335974944787E-2</v>
      </c>
      <c r="AZ181" t="str">
        <f t="shared" si="167"/>
        <v>1+0,88449179440971i</v>
      </c>
      <c r="BA181">
        <f t="shared" si="192"/>
        <v>1.3350377276984005</v>
      </c>
      <c r="BB181">
        <f t="shared" si="193"/>
        <v>0.72418066290296013</v>
      </c>
      <c r="BC181" s="41" t="str">
        <f t="shared" si="194"/>
        <v>-3,56084984816444+4,13111037844323i</v>
      </c>
      <c r="BD181">
        <f t="shared" si="195"/>
        <v>14.734245527187804</v>
      </c>
      <c r="BE181" s="43">
        <f t="shared" si="196"/>
        <v>130.76000709408416</v>
      </c>
      <c r="BF181" s="41" t="str">
        <f t="shared" si="197"/>
        <v>9,72423275564742+10,0042534903965i</v>
      </c>
      <c r="BG181" s="20">
        <f t="shared" si="198"/>
        <v>22.892450160943095</v>
      </c>
      <c r="BH181" s="43">
        <f t="shared" si="199"/>
        <v>45.813186008745127</v>
      </c>
      <c r="BI181" s="41" t="str">
        <f t="shared" si="203"/>
        <v>30,4840265686618+31,9454608518998i</v>
      </c>
      <c r="BJ181" s="20">
        <f t="shared" si="200"/>
        <v>32.899874700086713</v>
      </c>
      <c r="BK181" s="43">
        <f t="shared" si="204"/>
        <v>46.341012550176558</v>
      </c>
      <c r="BL181">
        <f t="shared" si="201"/>
        <v>22.892450160943095</v>
      </c>
      <c r="BM181" s="43">
        <f t="shared" si="202"/>
        <v>45.813186008745127</v>
      </c>
    </row>
    <row r="182" spans="14:65" x14ac:dyDescent="0.25">
      <c r="N182" s="9">
        <v>64</v>
      </c>
      <c r="O182" s="34">
        <f t="shared" si="154"/>
        <v>436.51583224016622</v>
      </c>
      <c r="P182" s="33" t="str">
        <f t="shared" si="155"/>
        <v>54,631621870174</v>
      </c>
      <c r="Q182" s="4" t="str">
        <f t="shared" si="156"/>
        <v>1+21,862826772638i</v>
      </c>
      <c r="R182" s="4">
        <f t="shared" si="168"/>
        <v>21.885684693204759</v>
      </c>
      <c r="S182" s="4">
        <f t="shared" si="169"/>
        <v>1.5250884451062865</v>
      </c>
      <c r="T182" s="4" t="str">
        <f t="shared" si="157"/>
        <v>1+0,0548541972696536i</v>
      </c>
      <c r="U182" s="4">
        <f t="shared" si="170"/>
        <v>1.0015033614312525</v>
      </c>
      <c r="V182" s="4">
        <f t="shared" si="171"/>
        <v>5.479927793815427E-2</v>
      </c>
      <c r="W182" t="str">
        <f t="shared" si="158"/>
        <v>1-0,0109141718947678i</v>
      </c>
      <c r="X182" s="4">
        <f t="shared" si="172"/>
        <v>1.0000595578005085</v>
      </c>
      <c r="Y182" s="4">
        <f t="shared" si="173"/>
        <v>-1.0913738563451928E-2</v>
      </c>
      <c r="Z182" t="str">
        <f t="shared" si="159"/>
        <v>0,999999237815713+0,00149951894405361i</v>
      </c>
      <c r="AA182" s="4">
        <f t="shared" si="174"/>
        <v>1.0000003620944697</v>
      </c>
      <c r="AB182" s="4">
        <f t="shared" si="175"/>
        <v>1.4995189630452337E-3</v>
      </c>
      <c r="AC182" s="47" t="str">
        <f t="shared" si="176"/>
        <v>0,219961184810406-2,49043213482499i</v>
      </c>
      <c r="AD182" s="20">
        <f t="shared" si="177"/>
        <v>7.9592414921821577</v>
      </c>
      <c r="AE182" s="43">
        <f t="shared" si="178"/>
        <v>-84.952591208816031</v>
      </c>
      <c r="AF182" t="str">
        <f t="shared" si="160"/>
        <v>171,265703090588</v>
      </c>
      <c r="AG182" t="str">
        <f t="shared" si="161"/>
        <v>1+21,6535991392144i</v>
      </c>
      <c r="AH182">
        <f t="shared" si="179"/>
        <v>21.676677690130163</v>
      </c>
      <c r="AI182">
        <f t="shared" si="180"/>
        <v>1.5246474170699273</v>
      </c>
      <c r="AJ182" t="str">
        <f t="shared" si="162"/>
        <v>1+0,0548541972696536i</v>
      </c>
      <c r="AK182">
        <f t="shared" si="181"/>
        <v>1.0015033614312525</v>
      </c>
      <c r="AL182">
        <f t="shared" si="182"/>
        <v>5.479927793815427E-2</v>
      </c>
      <c r="AM182" t="str">
        <f t="shared" si="163"/>
        <v>1-0,00344816393452286i</v>
      </c>
      <c r="AN182">
        <f t="shared" si="183"/>
        <v>1.0000059448995888</v>
      </c>
      <c r="AO182">
        <f t="shared" si="184"/>
        <v>-3.4481502685874922E-3</v>
      </c>
      <c r="AP182" s="41" t="str">
        <f t="shared" si="185"/>
        <v>0,7702809422985-7,87526430686868i</v>
      </c>
      <c r="AQ182">
        <f t="shared" si="186"/>
        <v>17.966653495280482</v>
      </c>
      <c r="AR182" s="43">
        <f t="shared" si="187"/>
        <v>-84.413659354925386</v>
      </c>
      <c r="AS182" t="str">
        <f t="shared" si="164"/>
        <v>-0,0000166666666666667</v>
      </c>
      <c r="AT182" t="str">
        <f t="shared" si="165"/>
        <v>4,17440441222064E-06i</v>
      </c>
      <c r="AU182">
        <f t="shared" si="188"/>
        <v>4.1744044122206399E-6</v>
      </c>
      <c r="AV182">
        <f t="shared" si="189"/>
        <v>1.5707963267948966</v>
      </c>
      <c r="AW182" t="str">
        <f t="shared" si="166"/>
        <v>1+0,0130828341714088i</v>
      </c>
      <c r="AX182">
        <f t="shared" si="190"/>
        <v>1.0000855766132999</v>
      </c>
      <c r="AY182">
        <f t="shared" si="191"/>
        <v>1.3082087826356942E-2</v>
      </c>
      <c r="AZ182" t="str">
        <f t="shared" si="167"/>
        <v>1+0,905094254949284i</v>
      </c>
      <c r="BA182">
        <f t="shared" si="192"/>
        <v>1.3487755967329034</v>
      </c>
      <c r="BB182">
        <f t="shared" si="193"/>
        <v>0.73562248862412627</v>
      </c>
      <c r="BC182" s="41" t="str">
        <f t="shared" si="194"/>
        <v>-3,56082242187426+4,03917118262889i</v>
      </c>
      <c r="BD182">
        <f t="shared" si="195"/>
        <v>14.623135293327664</v>
      </c>
      <c r="BE182" s="43">
        <f t="shared" si="196"/>
        <v>131.39851549340321</v>
      </c>
      <c r="BF182" s="41" t="str">
        <f t="shared" si="197"/>
        <v>9,27603899246312+9,7564474648241i</v>
      </c>
      <c r="BG182" s="20">
        <f t="shared" si="198"/>
        <v>22.582376785509819</v>
      </c>
      <c r="BH182" s="43">
        <f t="shared" si="199"/>
        <v>46.445924284587193</v>
      </c>
      <c r="BI182" s="41" t="str">
        <f t="shared" si="203"/>
        <v>29,0667069934109+31,1537143067444i</v>
      </c>
      <c r="BJ182" s="20">
        <f t="shared" si="200"/>
        <v>32.589788788608146</v>
      </c>
      <c r="BK182" s="43">
        <f t="shared" si="204"/>
        <v>46.98485613847788</v>
      </c>
      <c r="BL182">
        <f t="shared" si="201"/>
        <v>22.582376785509819</v>
      </c>
      <c r="BM182" s="43">
        <f t="shared" si="202"/>
        <v>46.445924284587193</v>
      </c>
    </row>
    <row r="183" spans="14:65" x14ac:dyDescent="0.25">
      <c r="N183" s="9">
        <v>65</v>
      </c>
      <c r="O183" s="34">
        <f t="shared" si="154"/>
        <v>446.68359215096331</v>
      </c>
      <c r="P183" s="33" t="str">
        <f t="shared" si="155"/>
        <v>54,631621870174</v>
      </c>
      <c r="Q183" s="4" t="str">
        <f t="shared" si="156"/>
        <v>1+22,3720774278885i</v>
      </c>
      <c r="R183" s="4">
        <f t="shared" si="168"/>
        <v>22.394415563694402</v>
      </c>
      <c r="S183" s="4">
        <f t="shared" si="169"/>
        <v>1.5261274839977408</v>
      </c>
      <c r="T183" s="4" t="str">
        <f t="shared" si="157"/>
        <v>1+0,0561319156632226i</v>
      </c>
      <c r="U183" s="4">
        <f t="shared" si="170"/>
        <v>1.0015741569928924</v>
      </c>
      <c r="V183" s="4">
        <f t="shared" si="171"/>
        <v>5.6073073533367032E-2</v>
      </c>
      <c r="W183" t="str">
        <f t="shared" si="158"/>
        <v>1-0,0111683956164635i</v>
      </c>
      <c r="X183" s="4">
        <f t="shared" si="172"/>
        <v>1.0000623645856521</v>
      </c>
      <c r="Y183" s="4">
        <f t="shared" si="173"/>
        <v>-1.116793129515682E-2</v>
      </c>
      <c r="Z183" t="str">
        <f t="shared" si="159"/>
        <v>0,999999201895074+0,0015344472272423i</v>
      </c>
      <c r="AA183" s="4">
        <f t="shared" si="174"/>
        <v>1.0000003791594672</v>
      </c>
      <c r="AB183" s="4">
        <f t="shared" si="175"/>
        <v>1.5344472475921824E-3</v>
      </c>
      <c r="AC183" s="47" t="str">
        <f t="shared" si="176"/>
        <v>0,214847827062347-2,43404785034101i</v>
      </c>
      <c r="AD183" s="20">
        <f t="shared" si="177"/>
        <v>7.7602878013596719</v>
      </c>
      <c r="AE183" s="43">
        <f t="shared" si="178"/>
        <v>-84.955706054478028</v>
      </c>
      <c r="AF183" t="str">
        <f t="shared" si="160"/>
        <v>171,265703090588</v>
      </c>
      <c r="AG183" t="str">
        <f t="shared" si="161"/>
        <v>1+22,1579762568146i</v>
      </c>
      <c r="AH183">
        <f t="shared" si="179"/>
        <v>22.180530016155149</v>
      </c>
      <c r="AI183">
        <f t="shared" si="180"/>
        <v>1.5256964540918452</v>
      </c>
      <c r="AJ183" t="str">
        <f t="shared" si="162"/>
        <v>1+0,0561319156632226i</v>
      </c>
      <c r="AK183">
        <f t="shared" si="181"/>
        <v>1.0015741569928924</v>
      </c>
      <c r="AL183">
        <f t="shared" si="182"/>
        <v>5.6073073533367032E-2</v>
      </c>
      <c r="AM183" t="str">
        <f t="shared" si="163"/>
        <v>1-0,00352848199043247i</v>
      </c>
      <c r="AN183">
        <f t="shared" si="183"/>
        <v>1.0000062250732027</v>
      </c>
      <c r="AO183">
        <f t="shared" si="184"/>
        <v>-3.5284673471238223E-3</v>
      </c>
      <c r="AP183" s="41" t="str">
        <f t="shared" si="185"/>
        <v>0,753948431900147-7,69680739995654i</v>
      </c>
      <c r="AQ183">
        <f t="shared" si="186"/>
        <v>17.767685916457307</v>
      </c>
      <c r="AR183" s="43">
        <f t="shared" si="187"/>
        <v>-84.405383466889148</v>
      </c>
      <c r="AS183" t="str">
        <f t="shared" si="164"/>
        <v>-0,0000166666666666667</v>
      </c>
      <c r="AT183" t="str">
        <f t="shared" si="165"/>
        <v>4,27163878197124E-06i</v>
      </c>
      <c r="AU183">
        <f t="shared" si="188"/>
        <v>4.27163878197124E-6</v>
      </c>
      <c r="AV183">
        <f t="shared" si="189"/>
        <v>1.5707963267948966</v>
      </c>
      <c r="AW183" t="str">
        <f t="shared" si="166"/>
        <v>1+0,0133875725267738i</v>
      </c>
      <c r="AX183">
        <f t="shared" si="190"/>
        <v>1.0000896095341454</v>
      </c>
      <c r="AY183">
        <f t="shared" si="191"/>
        <v>1.3386772807512399E-2</v>
      </c>
      <c r="AZ183" t="str">
        <f t="shared" si="167"/>
        <v>1+0,926176608443173i</v>
      </c>
      <c r="BA183">
        <f t="shared" si="192"/>
        <v>1.3630125127919033</v>
      </c>
      <c r="BB183">
        <f t="shared" si="193"/>
        <v>0.74709052516258057</v>
      </c>
      <c r="BC183" s="41" t="str">
        <f t="shared" si="194"/>
        <v>-3,56079370347566+3,94937357501672i</v>
      </c>
      <c r="BD183">
        <f t="shared" si="195"/>
        <v>14.514303128494987</v>
      </c>
      <c r="BE183" s="43">
        <f t="shared" si="196"/>
        <v>132.03812842285711</v>
      </c>
      <c r="BF183" s="41" t="str">
        <f t="shared" si="197"/>
        <v>8,847935470654+9,51565659030253i</v>
      </c>
      <c r="BG183" s="20">
        <f t="shared" si="198"/>
        <v>22.274590929854657</v>
      </c>
      <c r="BH183" s="43">
        <f t="shared" si="199"/>
        <v>47.082422368379106</v>
      </c>
      <c r="BI183" s="41" t="str">
        <f t="shared" si="203"/>
        <v>27,7129129283261+30,3843673405018i</v>
      </c>
      <c r="BJ183" s="20">
        <f t="shared" si="200"/>
        <v>32.28198904495229</v>
      </c>
      <c r="BK183" s="43">
        <f t="shared" si="204"/>
        <v>47.632744955967944</v>
      </c>
      <c r="BL183">
        <f t="shared" si="201"/>
        <v>22.274590929854657</v>
      </c>
      <c r="BM183" s="43">
        <f t="shared" si="202"/>
        <v>47.082422368379106</v>
      </c>
    </row>
    <row r="184" spans="14:65" x14ac:dyDescent="0.25">
      <c r="N184" s="9">
        <v>66</v>
      </c>
      <c r="O184" s="34">
        <f t="shared" ref="O184:O218" si="205">10^(2+(N184/100))</f>
        <v>457.0881896148756</v>
      </c>
      <c r="P184" s="33" t="str">
        <f t="shared" si="155"/>
        <v>54,631621870174</v>
      </c>
      <c r="Q184" s="4" t="str">
        <f t="shared" si="156"/>
        <v>1+22,8931900547208i</v>
      </c>
      <c r="R184" s="4">
        <f t="shared" si="168"/>
        <v>22.915020202512746</v>
      </c>
      <c r="S184" s="4">
        <f t="shared" si="169"/>
        <v>1.5271429647444352</v>
      </c>
      <c r="T184" s="4" t="str">
        <f t="shared" si="157"/>
        <v>1+0,05743939594147i</v>
      </c>
      <c r="U184" s="4">
        <f t="shared" si="170"/>
        <v>1.0016482836835099</v>
      </c>
      <c r="V184" s="4">
        <f t="shared" si="171"/>
        <v>5.7376351065656188E-2</v>
      </c>
      <c r="W184" t="str">
        <f t="shared" si="158"/>
        <v>1-0,0114285409693462i</v>
      </c>
      <c r="X184" s="4">
        <f t="shared" si="172"/>
        <v>1.0000653036420613</v>
      </c>
      <c r="Y184" s="4">
        <f t="shared" si="173"/>
        <v>-1.1428043441856902E-2</v>
      </c>
      <c r="Z184" t="str">
        <f t="shared" si="159"/>
        <v>0,999999164281548+0,00157018909466168i</v>
      </c>
      <c r="AA184" s="4">
        <f t="shared" si="174"/>
        <v>1.0000003970287148</v>
      </c>
      <c r="AB184" s="4">
        <f t="shared" si="175"/>
        <v>1.5701891164669609E-3</v>
      </c>
      <c r="AC184" s="47" t="str">
        <f t="shared" si="176"/>
        <v>0,209963700693261-2,3789335906552i</v>
      </c>
      <c r="AD184" s="20">
        <f t="shared" si="177"/>
        <v>7.5613457633545522</v>
      </c>
      <c r="AE184" s="43">
        <f t="shared" si="178"/>
        <v>-84.956167699750466</v>
      </c>
      <c r="AF184" t="str">
        <f t="shared" si="160"/>
        <v>171,265703090588</v>
      </c>
      <c r="AG184" t="str">
        <f t="shared" si="161"/>
        <v>1+22,6741018267217i</v>
      </c>
      <c r="AH184">
        <f t="shared" si="179"/>
        <v>22.696142704180907</v>
      </c>
      <c r="AI184">
        <f t="shared" si="180"/>
        <v>1.5267217081061386</v>
      </c>
      <c r="AJ184" t="str">
        <f t="shared" si="162"/>
        <v>1+0,05743939594147i</v>
      </c>
      <c r="AK184">
        <f t="shared" si="181"/>
        <v>1.0016482836835099</v>
      </c>
      <c r="AL184">
        <f t="shared" si="182"/>
        <v>5.7376351065656188E-2</v>
      </c>
      <c r="AM184" t="str">
        <f t="shared" si="163"/>
        <v>1-0,0036106708941984i</v>
      </c>
      <c r="AN184">
        <f t="shared" si="183"/>
        <v>1.0000065184509082</v>
      </c>
      <c r="AO184">
        <f t="shared" si="184"/>
        <v>-3.6106552036160155E-3</v>
      </c>
      <c r="AP184" s="41" t="str">
        <f t="shared" si="185"/>
        <v>0,73834808424614-7,52236520407095i</v>
      </c>
      <c r="AQ184">
        <f t="shared" si="186"/>
        <v>17.568728608849447</v>
      </c>
      <c r="AR184" s="43">
        <f t="shared" si="187"/>
        <v>-84.394162910006855</v>
      </c>
      <c r="AS184" t="str">
        <f t="shared" si="164"/>
        <v>-0,0000166666666666667</v>
      </c>
      <c r="AT184" t="str">
        <f t="shared" si="165"/>
        <v>4,37113803114587E-06i</v>
      </c>
      <c r="AU184">
        <f t="shared" si="188"/>
        <v>4.37113803114587E-6</v>
      </c>
      <c r="AV184">
        <f t="shared" si="189"/>
        <v>1.5707963267948966</v>
      </c>
      <c r="AW184" t="str">
        <f t="shared" si="166"/>
        <v>1+0,013699409150298i</v>
      </c>
      <c r="AX184">
        <f t="shared" si="190"/>
        <v>1.0000938325032642</v>
      </c>
      <c r="AY184">
        <f t="shared" si="191"/>
        <v>1.3698552240012834E-2</v>
      </c>
      <c r="AZ184" t="str">
        <f t="shared" si="167"/>
        <v>1+0,947750033034255i</v>
      </c>
      <c r="BA184">
        <f t="shared" si="192"/>
        <v>1.3777627245343922</v>
      </c>
      <c r="BB184">
        <f t="shared" si="193"/>
        <v>0.75857878819716518</v>
      </c>
      <c r="BC184" s="41" t="str">
        <f t="shared" si="194"/>
        <v>-3,56076363211712+3,86166994130836i</v>
      </c>
      <c r="BD184">
        <f t="shared" si="195"/>
        <v>14.407758210098947</v>
      </c>
      <c r="BE184" s="43">
        <f t="shared" si="196"/>
        <v>132.67849376305364</v>
      </c>
      <c r="BF184" s="41" t="str">
        <f t="shared" si="197"/>
        <v>8,43902522990866+9,28163072455986i</v>
      </c>
      <c r="BG184" s="20">
        <f t="shared" si="198"/>
        <v>21.969103973453493</v>
      </c>
      <c r="BH184" s="43">
        <f t="shared" si="199"/>
        <v>47.722326063303179</v>
      </c>
      <c r="BI184" s="41" t="str">
        <f t="shared" si="203"/>
        <v>26,4198085898777+29,636621049315i</v>
      </c>
      <c r="BJ184" s="20">
        <f t="shared" si="200"/>
        <v>31.976486818948384</v>
      </c>
      <c r="BK184" s="43">
        <f t="shared" si="204"/>
        <v>48.284330853046747</v>
      </c>
      <c r="BL184">
        <f t="shared" si="201"/>
        <v>21.969103973453493</v>
      </c>
      <c r="BM184" s="43">
        <f t="shared" si="202"/>
        <v>47.722326063303179</v>
      </c>
    </row>
    <row r="185" spans="14:65" x14ac:dyDescent="0.25">
      <c r="N185" s="9">
        <v>67</v>
      </c>
      <c r="O185" s="34">
        <f t="shared" si="205"/>
        <v>467.7351412871983</v>
      </c>
      <c r="P185" s="33" t="str">
        <f t="shared" si="155"/>
        <v>54,631621870174</v>
      </c>
      <c r="Q185" s="4" t="str">
        <f t="shared" si="156"/>
        <v>1+23,4264409539472i</v>
      </c>
      <c r="R185" s="4">
        <f t="shared" si="168"/>
        <v>23.447774644276471</v>
      </c>
      <c r="S185" s="4">
        <f t="shared" si="169"/>
        <v>1.5281354173856134</v>
      </c>
      <c r="T185" s="4" t="str">
        <f t="shared" si="157"/>
        <v>1+0,0587773313477458i</v>
      </c>
      <c r="U185" s="4">
        <f t="shared" si="170"/>
        <v>1.0017258979782655</v>
      </c>
      <c r="V185" s="4">
        <f t="shared" si="171"/>
        <v>5.8709783830724567E-2</v>
      </c>
      <c r="W185" t="str">
        <f t="shared" si="158"/>
        <v>1-0,0116947458859254i</v>
      </c>
      <c r="X185" s="4">
        <f t="shared" si="172"/>
        <v>1.0000683812026738</v>
      </c>
      <c r="Y185" s="4">
        <f t="shared" si="173"/>
        <v>-1.1694212777584456E-2</v>
      </c>
      <c r="Z185" t="str">
        <f t="shared" si="159"/>
        <v>0,99999912489535+0,00160676349712296i</v>
      </c>
      <c r="AA185" s="4">
        <f t="shared" si="174"/>
        <v>1.0000004157401143</v>
      </c>
      <c r="AB185" s="4">
        <f t="shared" si="175"/>
        <v>1.6067635204877289E-3</v>
      </c>
      <c r="AC185" s="47" t="str">
        <f t="shared" si="176"/>
        <v>0,205298566822292-2,32506149922007i</v>
      </c>
      <c r="AD185" s="20">
        <f t="shared" si="177"/>
        <v>7.3624176042630776</v>
      </c>
      <c r="AE185" s="43">
        <f t="shared" si="178"/>
        <v>-84.953976916315284</v>
      </c>
      <c r="AF185" t="str">
        <f t="shared" si="160"/>
        <v>171,265703090588</v>
      </c>
      <c r="AG185" t="str">
        <f t="shared" si="161"/>
        <v>1+23,2022495055446i</v>
      </c>
      <c r="AH185">
        <f t="shared" si="179"/>
        <v>23.223789142117713</v>
      </c>
      <c r="AI185">
        <f t="shared" si="180"/>
        <v>1.527723714089618</v>
      </c>
      <c r="AJ185" t="str">
        <f t="shared" si="162"/>
        <v>1+0,0587773313477458i</v>
      </c>
      <c r="AK185">
        <f t="shared" si="181"/>
        <v>1.0017258979782655</v>
      </c>
      <c r="AL185">
        <f t="shared" si="182"/>
        <v>5.8709783830724567E-2</v>
      </c>
      <c r="AM185" t="str">
        <f t="shared" si="163"/>
        <v>1-0,0036947742234653i</v>
      </c>
      <c r="AN185">
        <f t="shared" si="183"/>
        <v>1.0000068256549863</v>
      </c>
      <c r="AO185">
        <f t="shared" si="184"/>
        <v>-3.6947574107095626E-3</v>
      </c>
      <c r="AP185" s="41" t="str">
        <f t="shared" si="185"/>
        <v>0,723447202896718-7,35184963178063i</v>
      </c>
      <c r="AQ185">
        <f t="shared" si="186"/>
        <v>17.369783765995724</v>
      </c>
      <c r="AR185" s="43">
        <f t="shared" si="187"/>
        <v>-84.379992255718406</v>
      </c>
      <c r="AS185" t="str">
        <f t="shared" si="164"/>
        <v>-0,0000166666666666667</v>
      </c>
      <c r="AT185" t="str">
        <f t="shared" si="165"/>
        <v>4,47295491556346E-06i</v>
      </c>
      <c r="AU185">
        <f t="shared" si="188"/>
        <v>4.4729549155634601E-6</v>
      </c>
      <c r="AV185">
        <f t="shared" si="189"/>
        <v>1.5707963267948966</v>
      </c>
      <c r="AW185" t="str">
        <f t="shared" si="166"/>
        <v>1+0,0140185093818868i</v>
      </c>
      <c r="AX185">
        <f t="shared" si="190"/>
        <v>1.000098254475674</v>
      </c>
      <c r="AY185">
        <f t="shared" si="191"/>
        <v>1.4017591190845351E-2</v>
      </c>
      <c r="AZ185" t="str">
        <f t="shared" si="167"/>
        <v>1+0,969825967237806i</v>
      </c>
      <c r="BA185">
        <f t="shared" si="192"/>
        <v>1.3930407053380551</v>
      </c>
      <c r="BB185">
        <f t="shared" si="193"/>
        <v>0.77008124020935509</v>
      </c>
      <c r="BC185" s="41" t="str">
        <f t="shared" si="194"/>
        <v>-3,56073214408351+3,77601377728532i</v>
      </c>
      <c r="BD185">
        <f t="shared" si="195"/>
        <v>14.303507329041965</v>
      </c>
      <c r="BE185" s="43">
        <f t="shared" si="196"/>
        <v>133.319256132021</v>
      </c>
      <c r="BF185" s="41" t="str">
        <f t="shared" si="197"/>
        <v>8,04845104807223+9,05413143402181i</v>
      </c>
      <c r="BG185" s="20">
        <f t="shared" si="198"/>
        <v>21.665924933305043</v>
      </c>
      <c r="BH185" s="43">
        <f t="shared" si="199"/>
        <v>48.365279215705733</v>
      </c>
      <c r="BI185" s="41" t="str">
        <f t="shared" si="203"/>
        <v>25,184683788232+28,9097139076263i</v>
      </c>
      <c r="BJ185" s="20">
        <f t="shared" si="200"/>
        <v>31.67329109503768</v>
      </c>
      <c r="BK185" s="43">
        <f t="shared" si="204"/>
        <v>48.939263876302583</v>
      </c>
      <c r="BL185">
        <f t="shared" si="201"/>
        <v>21.665924933305043</v>
      </c>
      <c r="BM185" s="43">
        <f t="shared" si="202"/>
        <v>48.365279215705733</v>
      </c>
    </row>
    <row r="186" spans="14:65" x14ac:dyDescent="0.25">
      <c r="N186" s="9">
        <v>68</v>
      </c>
      <c r="O186" s="34">
        <f t="shared" si="205"/>
        <v>478.63009232263886</v>
      </c>
      <c r="P186" s="33" t="str">
        <f t="shared" si="155"/>
        <v>54,631621870174</v>
      </c>
      <c r="Q186" s="4" t="str">
        <f t="shared" si="156"/>
        <v>1+23,972112862253i</v>
      </c>
      <c r="R186" s="4">
        <f t="shared" si="168"/>
        <v>23.992961365379546</v>
      </c>
      <c r="S186" s="4">
        <f t="shared" si="169"/>
        <v>1.5291053603081219</v>
      </c>
      <c r="T186" s="4" t="str">
        <f t="shared" si="157"/>
        <v>1+0,0601464312731122i</v>
      </c>
      <c r="U186" s="4">
        <f t="shared" si="170"/>
        <v>1.0018071636771675</v>
      </c>
      <c r="V186" s="4">
        <f t="shared" si="171"/>
        <v>6.0074059854340771E-2</v>
      </c>
      <c r="W186" t="str">
        <f t="shared" si="158"/>
        <v>1-0,0119671515115717i</v>
      </c>
      <c r="X186" s="4">
        <f t="shared" si="172"/>
        <v>1.0000716037940989</v>
      </c>
      <c r="Y186" s="4">
        <f t="shared" si="173"/>
        <v>-1.1966580277901522E-2</v>
      </c>
      <c r="Z186" t="str">
        <f t="shared" si="159"/>
        <v>0,999999083652939+0,00164418982685844i</v>
      </c>
      <c r="AA186" s="4">
        <f t="shared" si="174"/>
        <v>1.0000004353333574</v>
      </c>
      <c r="AB186" s="4">
        <f t="shared" si="175"/>
        <v>1.6441898518942271E-3</v>
      </c>
      <c r="AC186" s="47" t="str">
        <f t="shared" si="176"/>
        <v>0,200842640472584-2,27240428750337i</v>
      </c>
      <c r="AD186" s="20">
        <f t="shared" si="177"/>
        <v>7.1635055787814945</v>
      </c>
      <c r="AE186" s="43">
        <f t="shared" si="178"/>
        <v>-84.949133172976445</v>
      </c>
      <c r="AF186" t="str">
        <f t="shared" si="160"/>
        <v>171,265703090588</v>
      </c>
      <c r="AG186" t="str">
        <f t="shared" si="161"/>
        <v>1+23,7426993241734i</v>
      </c>
      <c r="AH186">
        <f t="shared" si="179"/>
        <v>23.763749098113792</v>
      </c>
      <c r="AI186">
        <f t="shared" si="180"/>
        <v>1.5287029952662949</v>
      </c>
      <c r="AJ186" t="str">
        <f t="shared" si="162"/>
        <v>1+0,0601464312731122i</v>
      </c>
      <c r="AK186">
        <f t="shared" si="181"/>
        <v>1.0018071636771675</v>
      </c>
      <c r="AL186">
        <f t="shared" si="182"/>
        <v>6.0074059854340771E-2</v>
      </c>
      <c r="AM186" t="str">
        <f t="shared" si="163"/>
        <v>1-0,00378083657093161i</v>
      </c>
      <c r="AN186">
        <f t="shared" si="183"/>
        <v>1.0000071473370458</v>
      </c>
      <c r="AO186">
        <f t="shared" si="184"/>
        <v>-3.7808185557462173E-3</v>
      </c>
      <c r="AP186" s="41" t="str">
        <f t="shared" si="185"/>
        <v>0,709214540535863-7,1851743854867i</v>
      </c>
      <c r="AQ186">
        <f t="shared" si="186"/>
        <v>17.170853607054148</v>
      </c>
      <c r="AR186" s="43">
        <f t="shared" si="187"/>
        <v>-84.362864616245147</v>
      </c>
      <c r="AS186" t="str">
        <f t="shared" si="164"/>
        <v>-0,0000166666666666667</v>
      </c>
      <c r="AT186" t="str">
        <f t="shared" si="165"/>
        <v>4,57714341988384E-06i</v>
      </c>
      <c r="AU186">
        <f t="shared" si="188"/>
        <v>4.5771434198838397E-6</v>
      </c>
      <c r="AV186">
        <f t="shared" si="189"/>
        <v>1.5707963267948966</v>
      </c>
      <c r="AW186" t="str">
        <f t="shared" si="166"/>
        <v>1+0,0143450424127068i</v>
      </c>
      <c r="AX186">
        <f t="shared" si="190"/>
        <v>1.0001028848282671</v>
      </c>
      <c r="AY186">
        <f t="shared" si="191"/>
        <v>1.4344058558746355E-2</v>
      </c>
      <c r="AZ186" t="str">
        <f t="shared" si="167"/>
        <v>1+0,992416116006351i</v>
      </c>
      <c r="BA186">
        <f t="shared" si="192"/>
        <v>1.4088611526013242</v>
      </c>
      <c r="BB186">
        <f t="shared" si="193"/>
        <v>0.78159180622803637</v>
      </c>
      <c r="BC186" s="41" t="str">
        <f t="shared" si="194"/>
        <v>-3,56069917266147+3,69235966413946i</v>
      </c>
      <c r="BD186">
        <f t="shared" si="195"/>
        <v>14.201554860645238</v>
      </c>
      <c r="BE186" s="43">
        <f t="shared" si="196"/>
        <v>133.96005778236866</v>
      </c>
      <c r="BF186" s="41" t="str">
        <f t="shared" si="197"/>
        <v>7,67539370802914+8,83293133098586i</v>
      </c>
      <c r="BG186" s="20">
        <f t="shared" si="198"/>
        <v>21.365060439426735</v>
      </c>
      <c r="BH186" s="43">
        <f t="shared" si="199"/>
        <v>49.01092460939222</v>
      </c>
      <c r="BI186" s="41" t="str">
        <f t="shared" si="203"/>
        <v>24,0049484530536+28,2029196525267i</v>
      </c>
      <c r="BJ186" s="20">
        <f t="shared" si="200"/>
        <v>31.372408467699383</v>
      </c>
      <c r="BK186" s="43">
        <f t="shared" si="204"/>
        <v>49.597193166123517</v>
      </c>
      <c r="BL186">
        <f t="shared" si="201"/>
        <v>21.365060439426735</v>
      </c>
      <c r="BM186" s="43">
        <f t="shared" si="202"/>
        <v>49.01092460939222</v>
      </c>
    </row>
    <row r="187" spans="14:65" x14ac:dyDescent="0.25">
      <c r="N187" s="9">
        <v>69</v>
      </c>
      <c r="O187" s="34">
        <f t="shared" si="205"/>
        <v>489.77881936844625</v>
      </c>
      <c r="P187" s="33" t="str">
        <f t="shared" si="155"/>
        <v>54,631621870174</v>
      </c>
      <c r="Q187" s="4" t="str">
        <f t="shared" si="156"/>
        <v>1+24,5304951021069i</v>
      </c>
      <c r="R187" s="4">
        <f t="shared" si="168"/>
        <v>24.550869433779546</v>
      </c>
      <c r="S187" s="4">
        <f t="shared" si="169"/>
        <v>1.5300533004842822</v>
      </c>
      <c r="T187" s="4" t="str">
        <f t="shared" si="157"/>
        <v>1+0,0615474216324718i</v>
      </c>
      <c r="U187" s="4">
        <f t="shared" si="170"/>
        <v>1.0018922522455223</v>
      </c>
      <c r="V187" s="4">
        <f t="shared" si="171"/>
        <v>6.1469882168169745E-2</v>
      </c>
      <c r="W187" t="str">
        <f t="shared" si="158"/>
        <v>1-0,0122459022793534i</v>
      </c>
      <c r="X187" s="4">
        <f t="shared" si="172"/>
        <v>1.0000749782504488</v>
      </c>
      <c r="Y187" s="4">
        <f t="shared" si="173"/>
        <v>-1.2245290193926435E-2</v>
      </c>
      <c r="Z187" t="str">
        <f t="shared" si="159"/>
        <v>0,999999040466832+0,00168248792780355i</v>
      </c>
      <c r="AA187" s="4">
        <f t="shared" si="174"/>
        <v>1.000000455850002</v>
      </c>
      <c r="AB187" s="4">
        <f t="shared" si="175"/>
        <v>1.6824879546298657E-3</v>
      </c>
      <c r="AC187" s="47" t="str">
        <f t="shared" si="176"/>
        <v>0,196586570744485-2,22093522650582i</v>
      </c>
      <c r="AD187" s="20">
        <f t="shared" si="177"/>
        <v>6.9646119748306381</v>
      </c>
      <c r="AE187" s="43">
        <f t="shared" si="178"/>
        <v>-84.94163463831552</v>
      </c>
      <c r="AF187" t="str">
        <f t="shared" si="160"/>
        <v>171,265703090588</v>
      </c>
      <c r="AG187" t="str">
        <f t="shared" si="161"/>
        <v>1+24,2957378362557i</v>
      </c>
      <c r="AH187">
        <f t="shared" si="179"/>
        <v>24.316308868906621</v>
      </c>
      <c r="AI187">
        <f t="shared" si="180"/>
        <v>1.5296600633467521</v>
      </c>
      <c r="AJ187" t="str">
        <f t="shared" si="162"/>
        <v>1+0,0615474216324718i</v>
      </c>
      <c r="AK187">
        <f t="shared" si="181"/>
        <v>1.0018922522455223</v>
      </c>
      <c r="AL187">
        <f t="shared" si="182"/>
        <v>6.1469882168169745E-2</v>
      </c>
      <c r="AM187" t="str">
        <f t="shared" si="163"/>
        <v>1-0,00386890356799312i</v>
      </c>
      <c r="AN187">
        <f t="shared" si="183"/>
        <v>1.0000074841794029</v>
      </c>
      <c r="AO187">
        <f t="shared" si="184"/>
        <v>-3.8688842643819867E-3</v>
      </c>
      <c r="AP187" s="41" t="str">
        <f t="shared" si="185"/>
        <v>0,69562023571395-7,02225493096441i</v>
      </c>
      <c r="AQ187">
        <f t="shared" si="186"/>
        <v>16.971940381349437</v>
      </c>
      <c r="AR187" s="43">
        <f t="shared" si="187"/>
        <v>-84.342771643854107</v>
      </c>
      <c r="AS187" t="str">
        <f t="shared" si="164"/>
        <v>-0,0000166666666666667</v>
      </c>
      <c r="AT187" t="str">
        <f t="shared" si="165"/>
        <v>0,0000046837587862311i</v>
      </c>
      <c r="AU187">
        <f t="shared" si="188"/>
        <v>4.6837587862311004E-6</v>
      </c>
      <c r="AV187">
        <f t="shared" si="189"/>
        <v>1.5707963267948966</v>
      </c>
      <c r="AW187" t="str">
        <f t="shared" si="166"/>
        <v>1+0,0146791813748931i</v>
      </c>
      <c r="AX187">
        <f t="shared" si="190"/>
        <v>1.000107733379678</v>
      </c>
      <c r="AY187">
        <f t="shared" si="191"/>
        <v>1.4678127162514225E-2</v>
      </c>
      <c r="AZ187" t="str">
        <f t="shared" si="167"/>
        <v>1+1,01553245693578i</v>
      </c>
      <c r="BA187">
        <f t="shared" si="192"/>
        <v>1.4252389873596716</v>
      </c>
      <c r="BB187">
        <f t="shared" si="193"/>
        <v>0.79310438981485809</v>
      </c>
      <c r="BC187" s="41" t="str">
        <f t="shared" si="194"/>
        <v>-3,56066464799862+3,61066324437809i</v>
      </c>
      <c r="BD187">
        <f t="shared" si="195"/>
        <v>14.101902745648738</v>
      </c>
      <c r="BE187" s="43">
        <f t="shared" si="196"/>
        <v>134.60053951212134</v>
      </c>
      <c r="BF187" s="41" t="str">
        <f t="shared" si="197"/>
        <v>7,31907033776793+8,61781345183953i</v>
      </c>
      <c r="BG187" s="20">
        <f t="shared" si="198"/>
        <v>21.066514720479379</v>
      </c>
      <c r="BH187" s="43">
        <f t="shared" si="199"/>
        <v>49.658904873805838</v>
      </c>
      <c r="BI187" s="41" t="str">
        <f t="shared" si="203"/>
        <v>22,8781273901469+27,5155452990569i</v>
      </c>
      <c r="BJ187" s="20">
        <f t="shared" si="200"/>
        <v>31.073843126998174</v>
      </c>
      <c r="BK187" s="43">
        <f t="shared" si="204"/>
        <v>50.257767868267173</v>
      </c>
      <c r="BL187">
        <f t="shared" si="201"/>
        <v>21.066514720479379</v>
      </c>
      <c r="BM187" s="43">
        <f t="shared" si="202"/>
        <v>49.658904873805838</v>
      </c>
    </row>
    <row r="188" spans="14:65" x14ac:dyDescent="0.25">
      <c r="N188" s="9">
        <v>70</v>
      </c>
      <c r="O188" s="34">
        <f t="shared" si="205"/>
        <v>501.18723362727269</v>
      </c>
      <c r="P188" s="33" t="str">
        <f t="shared" si="155"/>
        <v>54,631621870174</v>
      </c>
      <c r="Q188" s="4" t="str">
        <f t="shared" si="156"/>
        <v>1+25,1018837351633i</v>
      </c>
      <c r="R188" s="4">
        <f t="shared" si="168"/>
        <v>25.121794662277932</v>
      </c>
      <c r="S188" s="4">
        <f t="shared" si="169"/>
        <v>1.5309797337061575</v>
      </c>
      <c r="T188" s="4" t="str">
        <f t="shared" si="157"/>
        <v>1+0,0629810452494572i</v>
      </c>
      <c r="U188" s="4">
        <f t="shared" si="170"/>
        <v>1.0019813431699784</v>
      </c>
      <c r="V188" s="4">
        <f t="shared" si="171"/>
        <v>6.2897969087323674E-2</v>
      </c>
      <c r="W188" t="str">
        <f t="shared" si="158"/>
        <v>1-0,0125311459866172i</v>
      </c>
      <c r="X188" s="4">
        <f t="shared" si="172"/>
        <v>1.0000785117278232</v>
      </c>
      <c r="Y188" s="4">
        <f t="shared" si="173"/>
        <v>-1.2530490128046572E-2</v>
      </c>
      <c r="Z188" t="str">
        <f t="shared" si="159"/>
        <v>0,999998995245427+0,00172167810611834i</v>
      </c>
      <c r="AA188" s="4">
        <f t="shared" si="174"/>
        <v>1.0000004773335684</v>
      </c>
      <c r="AB188" s="4">
        <f t="shared" si="175"/>
        <v>1.7216781348632386E-3</v>
      </c>
      <c r="AC188" s="47" t="str">
        <f t="shared" si="176"/>
        <v>0,192521421828423-2,1706281381824i</v>
      </c>
      <c r="AD188" s="20">
        <f t="shared" si="177"/>
        <v>6.7657391182423066</v>
      </c>
      <c r="AE188" s="43">
        <f t="shared" si="178"/>
        <v>-84.931478183152535</v>
      </c>
      <c r="AF188" t="str">
        <f t="shared" si="160"/>
        <v>171,265703090588</v>
      </c>
      <c r="AG188" t="str">
        <f t="shared" si="161"/>
        <v>1+24,8616582701308i</v>
      </c>
      <c r="AH188">
        <f t="shared" si="179"/>
        <v>24.881761431634281</v>
      </c>
      <c r="AI188">
        <f t="shared" si="180"/>
        <v>1.5305954187639204</v>
      </c>
      <c r="AJ188" t="str">
        <f t="shared" si="162"/>
        <v>1+0,0629810452494572i</v>
      </c>
      <c r="AK188">
        <f t="shared" si="181"/>
        <v>1.0019813431699784</v>
      </c>
      <c r="AL188">
        <f t="shared" si="182"/>
        <v>6.2897969087323674E-2</v>
      </c>
      <c r="AM188" t="str">
        <f t="shared" si="163"/>
        <v>1-0,00395902190893736i</v>
      </c>
      <c r="AN188">
        <f t="shared" si="183"/>
        <v>1.0000078368965293</v>
      </c>
      <c r="AO188">
        <f t="shared" si="184"/>
        <v>-3.9590012247541252E-3</v>
      </c>
      <c r="AP188" s="41" t="str">
        <f t="shared" si="185"/>
        <v>0,682635752266235-6,86300847057359i</v>
      </c>
      <c r="AQ188">
        <f t="shared" si="186"/>
        <v>16.773046372976644</v>
      </c>
      <c r="AR188" s="43">
        <f t="shared" si="187"/>
        <v>-84.319703529849065</v>
      </c>
      <c r="AS188" t="str">
        <f t="shared" si="164"/>
        <v>-0,0000166666666666667</v>
      </c>
      <c r="AT188" t="str">
        <f t="shared" si="165"/>
        <v>0,0000047928575434837i</v>
      </c>
      <c r="AU188">
        <f t="shared" si="188"/>
        <v>4.7928575434837E-6</v>
      </c>
      <c r="AV188">
        <f t="shared" si="189"/>
        <v>1.5707963267948966</v>
      </c>
      <c r="AW188" t="str">
        <f t="shared" si="166"/>
        <v>1+0,0150211034333462i</v>
      </c>
      <c r="AX188">
        <f t="shared" si="190"/>
        <v>1.0001128104110832</v>
      </c>
      <c r="AY188">
        <f t="shared" si="191"/>
        <v>1.5019973831311968E-2</v>
      </c>
      <c r="AZ188" t="str">
        <f t="shared" si="167"/>
        <v>1+1,03918724661604i</v>
      </c>
      <c r="BA188">
        <f t="shared" si="192"/>
        <v>1.4421893542560307</v>
      </c>
      <c r="BB188">
        <f t="shared" si="193"/>
        <v>0.80461288918795482</v>
      </c>
      <c r="BC188" s="41" t="str">
        <f t="shared" si="194"/>
        <v>-3,56062849695612+3,53088119829086i</v>
      </c>
      <c r="BD188">
        <f t="shared" si="195"/>
        <v>14.004550481453833</v>
      </c>
      <c r="BE188" s="43">
        <f t="shared" si="196"/>
        <v>135.2403415833661</v>
      </c>
      <c r="BF188" s="41" t="str">
        <f t="shared" si="197"/>
        <v>6,97873282075254+8,40857067370926i</v>
      </c>
      <c r="BG188" s="20">
        <f t="shared" si="198"/>
        <v>20.770289599696138</v>
      </c>
      <c r="BH188" s="43">
        <f t="shared" si="199"/>
        <v>50.308863400213561</v>
      </c>
      <c r="BI188" s="41" t="str">
        <f t="shared" si="203"/>
        <v>21,801855259899+26,8469292781335i</v>
      </c>
      <c r="BJ188" s="20">
        <f t="shared" si="200"/>
        <v>30.77759685443047</v>
      </c>
      <c r="BK188" s="43">
        <f t="shared" si="204"/>
        <v>50.92063805351696</v>
      </c>
      <c r="BL188">
        <f t="shared" si="201"/>
        <v>20.770289599696138</v>
      </c>
      <c r="BM188" s="43">
        <f t="shared" si="202"/>
        <v>50.308863400213561</v>
      </c>
    </row>
    <row r="189" spans="14:65" x14ac:dyDescent="0.25">
      <c r="N189" s="9">
        <v>71</v>
      </c>
      <c r="O189" s="34">
        <f t="shared" si="205"/>
        <v>512.86138399136519</v>
      </c>
      <c r="P189" s="33" t="str">
        <f t="shared" si="155"/>
        <v>54,631621870174</v>
      </c>
      <c r="Q189" s="4" t="str">
        <f t="shared" si="156"/>
        <v>1+25,6865817192388i</v>
      </c>
      <c r="R189" s="4">
        <f t="shared" si="168"/>
        <v>25.70603976537679</v>
      </c>
      <c r="S189" s="4">
        <f t="shared" si="169"/>
        <v>1.5318851448161759</v>
      </c>
      <c r="T189" s="4" t="str">
        <f t="shared" si="157"/>
        <v>1+0,0644480622502866i</v>
      </c>
      <c r="U189" s="4">
        <f t="shared" si="170"/>
        <v>1.0020746243308514</v>
      </c>
      <c r="V189" s="4">
        <f t="shared" si="171"/>
        <v>6.4359054489350087E-2</v>
      </c>
      <c r="W189" t="str">
        <f t="shared" si="158"/>
        <v>1-0,0128230338733525i</v>
      </c>
      <c r="X189" s="4">
        <f t="shared" si="172"/>
        <v>1.0000822117194752</v>
      </c>
      <c r="Y189" s="4">
        <f t="shared" si="173"/>
        <v>-1.2822331111352664E-2</v>
      </c>
      <c r="Z189" t="str">
        <f t="shared" si="159"/>
        <v>0,999998947892803+0,0017617811409541i</v>
      </c>
      <c r="AA189" s="4">
        <f t="shared" si="174"/>
        <v>1.0000004998296259</v>
      </c>
      <c r="AB189" s="4">
        <f t="shared" si="175"/>
        <v>1.7617811717547951E-3</v>
      </c>
      <c r="AC189" s="47" t="str">
        <f t="shared" si="176"/>
        <v>0,188638654824229-2,12145738678829i</v>
      </c>
      <c r="AD189" s="20">
        <f t="shared" si="177"/>
        <v>6.5668893775164152</v>
      </c>
      <c r="AE189" s="43">
        <f t="shared" si="178"/>
        <v>-84.918659382828523</v>
      </c>
      <c r="AF189" t="str">
        <f t="shared" si="160"/>
        <v>171,265703090588</v>
      </c>
      <c r="AG189" t="str">
        <f t="shared" si="161"/>
        <v>1+25,4407606843036i</v>
      </c>
      <c r="AH189">
        <f t="shared" si="179"/>
        <v>25.46040659918863</v>
      </c>
      <c r="AI189">
        <f t="shared" si="180"/>
        <v>1.5315095509052274</v>
      </c>
      <c r="AJ189" t="str">
        <f t="shared" si="162"/>
        <v>1+0,0644480622502866i</v>
      </c>
      <c r="AK189">
        <f t="shared" si="181"/>
        <v>1.0020746243308514</v>
      </c>
      <c r="AL189">
        <f t="shared" si="182"/>
        <v>6.4359054489350087E-2</v>
      </c>
      <c r="AM189" t="str">
        <f t="shared" si="163"/>
        <v>1-0,00405123937570157i</v>
      </c>
      <c r="AN189">
        <f t="shared" si="183"/>
        <v>1.0000082062365685</v>
      </c>
      <c r="AO189">
        <f t="shared" si="184"/>
        <v>-4.0512172122097439E-3</v>
      </c>
      <c r="AP189" s="41" t="str">
        <f t="shared" si="185"/>
        <v>0,670233821301544-6,70735391620537i</v>
      </c>
      <c r="AQ189">
        <f t="shared" si="186"/>
        <v>16.574173905468729</v>
      </c>
      <c r="AR189" s="43">
        <f t="shared" si="187"/>
        <v>-84.293649003303742</v>
      </c>
      <c r="AS189" t="str">
        <f t="shared" si="164"/>
        <v>-0,0000166666666666667</v>
      </c>
      <c r="AT189" t="str">
        <f t="shared" si="165"/>
        <v>4,90449753724682E-06i</v>
      </c>
      <c r="AU189">
        <f t="shared" si="188"/>
        <v>4.9044975372468204E-6</v>
      </c>
      <c r="AV189">
        <f t="shared" si="189"/>
        <v>1.5707963267948966</v>
      </c>
      <c r="AW189" t="str">
        <f t="shared" si="166"/>
        <v>1+0,0153709898796676i</v>
      </c>
      <c r="AX189">
        <f t="shared" si="190"/>
        <v>1.0001181266879833</v>
      </c>
      <c r="AY189">
        <f t="shared" si="191"/>
        <v>1.5369779497001799E-2</v>
      </c>
      <c r="AZ189" t="str">
        <f t="shared" si="167"/>
        <v>1+1,06339302712973i</v>
      </c>
      <c r="BA189">
        <f t="shared" si="192"/>
        <v>1.4597276219035284</v>
      </c>
      <c r="BB189">
        <f t="shared" si="193"/>
        <v>0.81611121338015058</v>
      </c>
      <c r="BC189" s="41" t="str">
        <f t="shared" si="194"/>
        <v>-3,56059064295427+3,45297122096594i</v>
      </c>
      <c r="BD189">
        <f t="shared" si="195"/>
        <v>13.9094951236852</v>
      </c>
      <c r="BE189" s="43">
        <f t="shared" si="196"/>
        <v>135.87910464275831</v>
      </c>
      <c r="BF189" s="41" t="str">
        <f t="shared" si="197"/>
        <v>6,65366627381894+8,2050051670944i</v>
      </c>
      <c r="BG189" s="20">
        <f t="shared" si="198"/>
        <v>20.476384501201615</v>
      </c>
      <c r="BH189" s="43">
        <f t="shared" si="199"/>
        <v>50.960445259929841</v>
      </c>
      <c r="BI189" s="41" t="str">
        <f t="shared" si="203"/>
        <v>20,7738717687726+26,1964396892958i</v>
      </c>
      <c r="BJ189" s="20">
        <f t="shared" si="200"/>
        <v>30.483669029153937</v>
      </c>
      <c r="BK189" s="43">
        <f t="shared" si="204"/>
        <v>51.585455639454558</v>
      </c>
      <c r="BL189">
        <f t="shared" si="201"/>
        <v>20.476384501201615</v>
      </c>
      <c r="BM189" s="43">
        <f t="shared" si="202"/>
        <v>50.960445259929841</v>
      </c>
    </row>
    <row r="190" spans="14:65" x14ac:dyDescent="0.25">
      <c r="N190" s="9">
        <v>72</v>
      </c>
      <c r="O190" s="34">
        <f t="shared" si="205"/>
        <v>524.80746024977248</v>
      </c>
      <c r="P190" s="33" t="str">
        <f t="shared" si="155"/>
        <v>54,631621870174</v>
      </c>
      <c r="Q190" s="4" t="str">
        <f t="shared" si="156"/>
        <v>1+26,2848990689441i</v>
      </c>
      <c r="R190" s="4">
        <f t="shared" si="168"/>
        <v>26.303914519793025</v>
      </c>
      <c r="S190" s="4">
        <f t="shared" si="169"/>
        <v>1.5327700079340805</v>
      </c>
      <c r="T190" s="4" t="str">
        <f t="shared" si="157"/>
        <v>1+0,0659492504667922i</v>
      </c>
      <c r="U190" s="4">
        <f t="shared" si="170"/>
        <v>1.0021722923914489</v>
      </c>
      <c r="V190" s="4">
        <f t="shared" si="171"/>
        <v>6.5853888094343491E-2</v>
      </c>
      <c r="W190" t="str">
        <f t="shared" si="158"/>
        <v>1-0,0131217207023803i</v>
      </c>
      <c r="X190" s="4">
        <f t="shared" si="172"/>
        <v>1.0000860860716898</v>
      </c>
      <c r="Y190" s="4">
        <f t="shared" si="173"/>
        <v>-1.3120967682831258E-2</v>
      </c>
      <c r="Z190" t="str">
        <f t="shared" si="159"/>
        <v>0,999998898308519+0,00180281829547072i</v>
      </c>
      <c r="AA190" s="4">
        <f t="shared" si="174"/>
        <v>1.0000005233858922</v>
      </c>
      <c r="AB190" s="4">
        <f t="shared" si="175"/>
        <v>1.8028183284742379E-3</v>
      </c>
      <c r="AC190" s="47" t="str">
        <f t="shared" si="176"/>
        <v>0,184930110334825-2,07339787016885i</v>
      </c>
      <c r="AD190" s="20">
        <f t="shared" si="177"/>
        <v>6.3680651686578837</v>
      </c>
      <c r="AE190" s="43">
        <f t="shared" si="178"/>
        <v>-84.903172519327981</v>
      </c>
      <c r="AF190" t="str">
        <f t="shared" si="160"/>
        <v>171,265703090588</v>
      </c>
      <c r="AG190" t="str">
        <f t="shared" si="161"/>
        <v>1+26,0333521265397i</v>
      </c>
      <c r="AH190">
        <f t="shared" si="179"/>
        <v>26.052551179191823</v>
      </c>
      <c r="AI190">
        <f t="shared" si="180"/>
        <v>1.5324029383410844</v>
      </c>
      <c r="AJ190" t="str">
        <f t="shared" si="162"/>
        <v>1+0,0659492504667922i</v>
      </c>
      <c r="AK190">
        <f t="shared" si="181"/>
        <v>1.0021722923914489</v>
      </c>
      <c r="AL190">
        <f t="shared" si="182"/>
        <v>6.5853888094343491E-2</v>
      </c>
      <c r="AM190" t="str">
        <f t="shared" si="163"/>
        <v>1-0,00414560486320728i</v>
      </c>
      <c r="AN190">
        <f t="shared" si="183"/>
        <v>1.0000085929829212</v>
      </c>
      <c r="AO190">
        <f t="shared" si="184"/>
        <v>-4.1455811146089375E-3</v>
      </c>
      <c r="AP190" s="41" t="str">
        <f t="shared" si="185"/>
        <v>0,658388385659115-6,55521186202827i</v>
      </c>
      <c r="AQ190">
        <f t="shared" si="186"/>
        <v>16.375325346537178</v>
      </c>
      <c r="AR190" s="43">
        <f t="shared" si="187"/>
        <v>-84.264595329553799</v>
      </c>
      <c r="AS190" t="str">
        <f t="shared" si="164"/>
        <v>-0,0000166666666666667</v>
      </c>
      <c r="AT190" t="str">
        <f t="shared" si="165"/>
        <v>5,01873796052288E-06i</v>
      </c>
      <c r="AU190">
        <f t="shared" si="188"/>
        <v>5.0187379605228798E-6</v>
      </c>
      <c r="AV190">
        <f t="shared" si="189"/>
        <v>1.5707963267948966</v>
      </c>
      <c r="AW190" t="str">
        <f t="shared" si="166"/>
        <v>1+0,0157290262282822i</v>
      </c>
      <c r="AX190">
        <f t="shared" si="190"/>
        <v>1.000123693483006</v>
      </c>
      <c r="AY190">
        <f t="shared" si="191"/>
        <v>1.5727729288552164E-2</v>
      </c>
      <c r="AZ190" t="str">
        <f t="shared" si="167"/>
        <v>1+1,08816263270207i</v>
      </c>
      <c r="BA190">
        <f t="shared" si="192"/>
        <v>1.4778693836767511</v>
      </c>
      <c r="BB190">
        <f t="shared" si="193"/>
        <v>0.82759329832737505</v>
      </c>
      <c r="BC190" s="41" t="str">
        <f t="shared" si="194"/>
        <v>-3,56055100581092+3,37689199984307i</v>
      </c>
      <c r="BD190">
        <f t="shared" si="195"/>
        <v>13.816731298055808</v>
      </c>
      <c r="BE190" s="43">
        <f t="shared" si="196"/>
        <v>136.51647063791157</v>
      </c>
      <c r="BF190" s="41" t="str">
        <f t="shared" si="197"/>
        <v>6,34318758990746+8,00692788219568i</v>
      </c>
      <c r="BG190" s="20">
        <f t="shared" si="198"/>
        <v>20.184796466713685</v>
      </c>
      <c r="BH190" s="43">
        <f t="shared" si="199"/>
        <v>51.613298118583572</v>
      </c>
      <c r="BI190" s="41" t="str">
        <f t="shared" si="203"/>
        <v>19,7920170653869+25,5634726609703i</v>
      </c>
      <c r="BJ190" s="20">
        <f t="shared" si="200"/>
        <v>30.192056644592995</v>
      </c>
      <c r="BK190" s="43">
        <f t="shared" si="204"/>
        <v>52.251875308357739</v>
      </c>
      <c r="BL190">
        <f t="shared" si="201"/>
        <v>20.184796466713685</v>
      </c>
      <c r="BM190" s="43">
        <f t="shared" si="202"/>
        <v>51.613298118583572</v>
      </c>
    </row>
    <row r="191" spans="14:65" x14ac:dyDescent="0.25">
      <c r="N191" s="9">
        <v>73</v>
      </c>
      <c r="O191" s="34">
        <f t="shared" si="205"/>
        <v>537.03179637025301</v>
      </c>
      <c r="P191" s="33" t="str">
        <f t="shared" si="155"/>
        <v>54,631621870174</v>
      </c>
      <c r="Q191" s="4" t="str">
        <f t="shared" si="156"/>
        <v>1+26,8971530200573i</v>
      </c>
      <c r="R191" s="4">
        <f t="shared" si="168"/>
        <v>26.915735928716074</v>
      </c>
      <c r="S191" s="4">
        <f t="shared" si="169"/>
        <v>1.5336347866801852</v>
      </c>
      <c r="T191" s="4" t="str">
        <f t="shared" si="157"/>
        <v>1+0,0674854058488366i</v>
      </c>
      <c r="U191" s="4">
        <f t="shared" si="170"/>
        <v>1.0022745532051496</v>
      </c>
      <c r="V191" s="4">
        <f t="shared" si="171"/>
        <v>6.7383235745839862E-2</v>
      </c>
      <c r="W191" t="str">
        <f t="shared" si="158"/>
        <v>1-0,0134273648414111i</v>
      </c>
      <c r="X191" s="4">
        <f t="shared" si="172"/>
        <v>1.0000901430004119</v>
      </c>
      <c r="Y191" s="4">
        <f t="shared" si="173"/>
        <v>-1.3426557970354965E-2</v>
      </c>
      <c r="Z191" t="str">
        <f t="shared" si="159"/>
        <v>0,999998846387399+0,00184481132811072i</v>
      </c>
      <c r="AA191" s="4">
        <f t="shared" si="174"/>
        <v>1.0000005480523324</v>
      </c>
      <c r="AB191" s="4">
        <f t="shared" si="175"/>
        <v>1.8448113634746035E-3</v>
      </c>
      <c r="AC191" s="47" t="str">
        <f t="shared" si="176"/>
        <v>0,18138799180318-2,02642501101122i</v>
      </c>
      <c r="AD191" s="20">
        <f t="shared" si="177"/>
        <v>6.1692689601013093</v>
      </c>
      <c r="AE191" s="43">
        <f t="shared" si="178"/>
        <v>-84.885010583263195</v>
      </c>
      <c r="AF191" t="str">
        <f t="shared" si="160"/>
        <v>171,265703090588</v>
      </c>
      <c r="AG191" t="str">
        <f t="shared" si="161"/>
        <v>1+26,6397467966653i</v>
      </c>
      <c r="AH191">
        <f t="shared" si="179"/>
        <v>26.658509136679776</v>
      </c>
      <c r="AI191">
        <f t="shared" si="180"/>
        <v>1.5332760490496862</v>
      </c>
      <c r="AJ191" t="str">
        <f t="shared" si="162"/>
        <v>1+0,0674854058488366i</v>
      </c>
      <c r="AK191">
        <f t="shared" si="181"/>
        <v>1.0022745532051496</v>
      </c>
      <c r="AL191">
        <f t="shared" si="182"/>
        <v>6.7383235745839862E-2</v>
      </c>
      <c r="AM191" t="str">
        <f t="shared" si="163"/>
        <v>1-0,00424216840528502i</v>
      </c>
      <c r="AN191">
        <f t="shared" si="183"/>
        <v>1.0000089979559079</v>
      </c>
      <c r="AO191">
        <f t="shared" si="184"/>
        <v>-4.2421429582157905E-3</v>
      </c>
      <c r="AP191" s="41" t="str">
        <f t="shared" si="185"/>
        <v>0,647074546734937-6,40650455709079i</v>
      </c>
      <c r="AQ191">
        <f t="shared" si="186"/>
        <v>16.176503112893453</v>
      </c>
      <c r="AR191" s="43">
        <f t="shared" si="187"/>
        <v>-84.232528308466016</v>
      </c>
      <c r="AS191" t="str">
        <f t="shared" si="164"/>
        <v>-0,0000166666666666667</v>
      </c>
      <c r="AT191" t="str">
        <f t="shared" si="165"/>
        <v>5,13563938509647E-06i</v>
      </c>
      <c r="AU191">
        <f t="shared" si="188"/>
        <v>5.1356393850964699E-6</v>
      </c>
      <c r="AV191">
        <f t="shared" si="189"/>
        <v>1.5707963267948966</v>
      </c>
      <c r="AW191" t="str">
        <f t="shared" si="166"/>
        <v>1+0,0160954023148014i</v>
      </c>
      <c r="AX191">
        <f t="shared" si="190"/>
        <v>1.0001295225997857</v>
      </c>
      <c r="AY191">
        <f t="shared" si="191"/>
        <v>1.6094012628562936E-2</v>
      </c>
      <c r="AZ191" t="str">
        <f t="shared" si="167"/>
        <v>1+1,1135091965058i</v>
      </c>
      <c r="BA191">
        <f t="shared" si="192"/>
        <v>1.4966304589654027</v>
      </c>
      <c r="BB191">
        <f t="shared" si="193"/>
        <v>0.83905312278386113</v>
      </c>
      <c r="BC191" s="41" t="str">
        <f t="shared" si="194"/>
        <v>-3,56050950157237+3,30260319279167i</v>
      </c>
      <c r="BD191">
        <f t="shared" si="195"/>
        <v>13.72625122242653</v>
      </c>
      <c r="BE191" s="43">
        <f t="shared" si="196"/>
        <v>137.15208372374033</v>
      </c>
      <c r="BF191" s="41" t="str">
        <f t="shared" si="197"/>
        <v>6,0466440430322+7,81415806679259i</v>
      </c>
      <c r="BG191" s="20">
        <f t="shared" si="198"/>
        <v>19.895520182527839</v>
      </c>
      <c r="BH191" s="43">
        <f t="shared" si="199"/>
        <v>52.26707314047713</v>
      </c>
      <c r="BI191" s="41" t="str">
        <f t="shared" si="203"/>
        <v>18,8542273330071+24,9474508114095i</v>
      </c>
      <c r="BJ191" s="20">
        <f t="shared" si="200"/>
        <v>29.902754335319997</v>
      </c>
      <c r="BK191" s="43">
        <f t="shared" si="204"/>
        <v>52.919555415274296</v>
      </c>
      <c r="BL191">
        <f t="shared" si="201"/>
        <v>19.895520182527839</v>
      </c>
      <c r="BM191" s="43">
        <f t="shared" si="202"/>
        <v>52.26707314047713</v>
      </c>
    </row>
    <row r="192" spans="14:65" x14ac:dyDescent="0.25">
      <c r="N192" s="9">
        <v>74</v>
      </c>
      <c r="O192" s="34">
        <f t="shared" si="205"/>
        <v>549.54087385762534</v>
      </c>
      <c r="P192" s="33" t="str">
        <f t="shared" si="155"/>
        <v>54,631621870174</v>
      </c>
      <c r="Q192" s="4" t="str">
        <f t="shared" si="156"/>
        <v>1+27,5236681977278i</v>
      </c>
      <c r="R192" s="4">
        <f t="shared" si="168"/>
        <v>27.541828389898384</v>
      </c>
      <c r="S192" s="4">
        <f t="shared" si="169"/>
        <v>1.5344799343949305</v>
      </c>
      <c r="T192" s="4" t="str">
        <f t="shared" si="157"/>
        <v>1+0,0690573428863372i</v>
      </c>
      <c r="U192" s="4">
        <f t="shared" si="170"/>
        <v>1.0023816222410111</v>
      </c>
      <c r="V192" s="4">
        <f t="shared" si="171"/>
        <v>6.8947879692121114E-2</v>
      </c>
      <c r="W192" t="str">
        <f t="shared" si="158"/>
        <v>1-0,0137401283470129i</v>
      </c>
      <c r="X192" s="4">
        <f t="shared" si="172"/>
        <v>1.0000943911086555</v>
      </c>
      <c r="Y192" s="4">
        <f t="shared" si="173"/>
        <v>-1.3739263773506521E-2</v>
      </c>
      <c r="Z192" t="str">
        <f t="shared" si="159"/>
        <v>0,999998792019312+0,00188778250413585i</v>
      </c>
      <c r="AA192" s="4">
        <f t="shared" si="174"/>
        <v>1.0000005738812683</v>
      </c>
      <c r="AB192" s="4">
        <f t="shared" si="175"/>
        <v>1.887782542028908E-3</v>
      </c>
      <c r="AC192" s="47" t="str">
        <f t="shared" si="176"/>
        <v>0,178004849562606-1,98051474807386i</v>
      </c>
      <c r="AD192" s="20">
        <f t="shared" si="177"/>
        <v>5.9705032777322593</v>
      </c>
      <c r="AE192" s="43">
        <f t="shared" si="178"/>
        <v>-84.864165275742309</v>
      </c>
      <c r="AF192" t="str">
        <f t="shared" si="160"/>
        <v>171,265703090588</v>
      </c>
      <c r="AG192" t="str">
        <f t="shared" si="161"/>
        <v>1+27,2602662131613i</v>
      </c>
      <c r="AH192">
        <f t="shared" si="179"/>
        <v>27.278601760581932</v>
      </c>
      <c r="AI192">
        <f t="shared" si="180"/>
        <v>1.5341293406381151</v>
      </c>
      <c r="AJ192" t="str">
        <f t="shared" si="162"/>
        <v>1+0,0690573428863372i</v>
      </c>
      <c r="AK192">
        <f t="shared" si="181"/>
        <v>1.0023816222410111</v>
      </c>
      <c r="AL192">
        <f t="shared" si="182"/>
        <v>6.8947879692121114E-2</v>
      </c>
      <c r="AM192" t="str">
        <f t="shared" si="163"/>
        <v>1-0,00434098120120299i</v>
      </c>
      <c r="AN192">
        <f t="shared" si="183"/>
        <v>1.0000094220145075</v>
      </c>
      <c r="AO192">
        <f t="shared" si="184"/>
        <v>-4.3409539341909241E-3</v>
      </c>
      <c r="AP192" s="41" t="str">
        <f t="shared" si="185"/>
        <v>0,636268513582192-6,26115587783368i</v>
      </c>
      <c r="AQ192">
        <f t="shared" si="186"/>
        <v>15.977709675160312</v>
      </c>
      <c r="AR192" s="43">
        <f t="shared" si="187"/>
        <v>-84.197432272507356</v>
      </c>
      <c r="AS192" t="str">
        <f t="shared" si="164"/>
        <v>-0,0000166666666666667</v>
      </c>
      <c r="AT192" t="str">
        <f t="shared" si="165"/>
        <v>5,25526379365026E-06i</v>
      </c>
      <c r="AU192">
        <f t="shared" si="188"/>
        <v>5.2552637936502602E-6</v>
      </c>
      <c r="AV192">
        <f t="shared" si="189"/>
        <v>1.5707963267948966</v>
      </c>
      <c r="AW192" t="str">
        <f t="shared" si="166"/>
        <v>1+0,0164703123966757i</v>
      </c>
      <c r="AX192">
        <f t="shared" si="190"/>
        <v>1.0001356263979622</v>
      </c>
      <c r="AY192">
        <f t="shared" si="191"/>
        <v>1.6468823331948792E-2</v>
      </c>
      <c r="AZ192" t="str">
        <f t="shared" si="167"/>
        <v>1+1,13944615762456i</v>
      </c>
      <c r="BA192">
        <f t="shared" si="192"/>
        <v>1.5160268949215161</v>
      </c>
      <c r="BB192">
        <f t="shared" si="193"/>
        <v>0.8504847239627199</v>
      </c>
      <c r="BC192" s="41" t="str">
        <f t="shared" si="194"/>
        <v>-3,56046604233644+3,23006540670227i</v>
      </c>
      <c r="BD192">
        <f t="shared" si="195"/>
        <v>13.63804473886076</v>
      </c>
      <c r="BE192" s="43">
        <f t="shared" si="196"/>
        <v>137.78559115294559</v>
      </c>
      <c r="BF192" s="41" t="str">
        <f t="shared" si="197"/>
        <v>5,76341195297817+7,6265228136609i</v>
      </c>
      <c r="BG192" s="20">
        <f t="shared" si="198"/>
        <v>19.608548016593016</v>
      </c>
      <c r="BH192" s="43">
        <f t="shared" si="199"/>
        <v>52.921425877203276</v>
      </c>
      <c r="BI192" s="41" t="str">
        <f t="shared" si="203"/>
        <v>17,9585305705439+24,3478218038977i</v>
      </c>
      <c r="BJ192" s="20">
        <f t="shared" si="200"/>
        <v>29.615754414021069</v>
      </c>
      <c r="BK192" s="43">
        <f t="shared" si="204"/>
        <v>53.588158880438165</v>
      </c>
      <c r="BL192">
        <f t="shared" si="201"/>
        <v>19.608548016593016</v>
      </c>
      <c r="BM192" s="43">
        <f t="shared" si="202"/>
        <v>52.921425877203276</v>
      </c>
    </row>
    <row r="193" spans="14:65" x14ac:dyDescent="0.25">
      <c r="N193" s="9">
        <v>75</v>
      </c>
      <c r="O193" s="34">
        <f t="shared" si="205"/>
        <v>562.34132519034927</v>
      </c>
      <c r="P193" s="33" t="str">
        <f t="shared" si="155"/>
        <v>54,631621870174</v>
      </c>
      <c r="Q193" s="4" t="str">
        <f t="shared" si="156"/>
        <v>1+28,1647767885955i</v>
      </c>
      <c r="R193" s="4">
        <f t="shared" si="168"/>
        <v>28.182523867663232</v>
      </c>
      <c r="S193" s="4">
        <f t="shared" si="169"/>
        <v>1.5353058943547235</v>
      </c>
      <c r="T193" s="4" t="str">
        <f t="shared" si="157"/>
        <v>1+0,070665895041118i</v>
      </c>
      <c r="U193" s="4">
        <f t="shared" si="170"/>
        <v>1.0024937250287218</v>
      </c>
      <c r="V193" s="4">
        <f t="shared" si="171"/>
        <v>7.0548618867516039E-2</v>
      </c>
      <c r="W193" t="str">
        <f t="shared" si="158"/>
        <v>1-0,0140601770505365i</v>
      </c>
      <c r="X193" s="4">
        <f t="shared" si="172"/>
        <v>1.0000988394047323</v>
      </c>
      <c r="Y193" s="4">
        <f t="shared" si="173"/>
        <v>-1.4059250648278411E-2</v>
      </c>
      <c r="Z193" t="str">
        <f t="shared" si="159"/>
        <v>0,999998735088936+0,00193175460743243i</v>
      </c>
      <c r="AA193" s="4">
        <f t="shared" si="174"/>
        <v>1.0000006009274871</v>
      </c>
      <c r="AB193" s="4">
        <f t="shared" si="175"/>
        <v>1.9317546480355444E-3</v>
      </c>
      <c r="AC193" s="47" t="str">
        <f t="shared" si="176"/>
        <v>0,174773565571451-1,9356435274092i</v>
      </c>
      <c r="AD193" s="20">
        <f t="shared" si="177"/>
        <v>5.771770710015053</v>
      </c>
      <c r="AE193" s="43">
        <f t="shared" si="178"/>
        <v>-84.840627010148367</v>
      </c>
      <c r="AF193" t="str">
        <f t="shared" si="160"/>
        <v>171,265703090588</v>
      </c>
      <c r="AG193" t="str">
        <f t="shared" si="161"/>
        <v>1+27,8952393836357i</v>
      </c>
      <c r="AH193">
        <f t="shared" si="179"/>
        <v>27.913157834081407</v>
      </c>
      <c r="AI193">
        <f t="shared" si="180"/>
        <v>1.534963260559731</v>
      </c>
      <c r="AJ193" t="str">
        <f t="shared" si="162"/>
        <v>1+0,070665895041118i</v>
      </c>
      <c r="AK193">
        <f t="shared" si="181"/>
        <v>1.0024937250287218</v>
      </c>
      <c r="AL193">
        <f t="shared" si="182"/>
        <v>7.0548618867516039E-2</v>
      </c>
      <c r="AM193" t="str">
        <f t="shared" si="163"/>
        <v>1-0,0044420956428135i</v>
      </c>
      <c r="AN193">
        <f t="shared" si="183"/>
        <v>1.0000098660581804</v>
      </c>
      <c r="AO193">
        <f t="shared" si="184"/>
        <v>-4.4420664256992438E-3</v>
      </c>
      <c r="AP193" s="41" t="str">
        <f t="shared" si="185"/>
        <v>0,625947554193936-6,11909130056044i</v>
      </c>
      <c r="AQ193">
        <f t="shared" si="186"/>
        <v>15.778947562881513</v>
      </c>
      <c r="AR193" s="43">
        <f t="shared" si="187"/>
        <v>-84.159290084635927</v>
      </c>
      <c r="AS193" t="str">
        <f t="shared" si="164"/>
        <v>-0,0000166666666666667</v>
      </c>
      <c r="AT193" t="str">
        <f t="shared" si="165"/>
        <v>5,37767461262908E-06i</v>
      </c>
      <c r="AU193">
        <f t="shared" si="188"/>
        <v>5.3776746126290804E-6</v>
      </c>
      <c r="AV193">
        <f t="shared" si="189"/>
        <v>1.5707963267948966</v>
      </c>
      <c r="AW193" t="str">
        <f t="shared" si="166"/>
        <v>1+0,016853955256193i</v>
      </c>
      <c r="AX193">
        <f t="shared" si="190"/>
        <v>1.0001420178193583</v>
      </c>
      <c r="AY193">
        <f t="shared" si="191"/>
        <v>1.6852359706827698E-2</v>
      </c>
      <c r="AZ193" t="str">
        <f t="shared" si="167"/>
        <v>1+1,16598726817845i</v>
      </c>
      <c r="BA193">
        <f t="shared" si="192"/>
        <v>1.5360749687284942</v>
      </c>
      <c r="BB193">
        <f t="shared" si="193"/>
        <v>0.86188221280379052</v>
      </c>
      <c r="BC193" s="41" t="str">
        <f t="shared" si="194"/>
        <v>-3,56042053606689+3,15924017657974i</v>
      </c>
      <c r="BD193">
        <f t="shared" si="195"/>
        <v>13.552099355385934</v>
      </c>
      <c r="BE193" s="43">
        <f t="shared" si="196"/>
        <v>138.41664414501594</v>
      </c>
      <c r="BF193" s="41" t="str">
        <f t="shared" si="197"/>
        <v>5,49289540730545+7,44385663565009i</v>
      </c>
      <c r="BG193" s="20">
        <f t="shared" si="198"/>
        <v>19.323870065400989</v>
      </c>
      <c r="BH193" s="43">
        <f t="shared" si="199"/>
        <v>53.576017134867577</v>
      </c>
      <c r="BI193" s="41" t="str">
        <f t="shared" si="203"/>
        <v>17,1030425544372+23,764056990225i</v>
      </c>
      <c r="BJ193" s="20">
        <f t="shared" si="200"/>
        <v>29.331046918267461</v>
      </c>
      <c r="BK193" s="43">
        <f t="shared" si="204"/>
        <v>54.257354060380059</v>
      </c>
      <c r="BL193">
        <f t="shared" si="201"/>
        <v>19.323870065400989</v>
      </c>
      <c r="BM193" s="43">
        <f t="shared" si="202"/>
        <v>53.576017134867577</v>
      </c>
    </row>
    <row r="194" spans="14:65" x14ac:dyDescent="0.25">
      <c r="N194" s="9">
        <v>76</v>
      </c>
      <c r="O194" s="34">
        <f t="shared" si="205"/>
        <v>575.43993733715706</v>
      </c>
      <c r="P194" s="33" t="str">
        <f t="shared" si="155"/>
        <v>54,631621870174</v>
      </c>
      <c r="Q194" s="4" t="str">
        <f t="shared" si="156"/>
        <v>1+28,8208187169215i</v>
      </c>
      <c r="R194" s="4">
        <f t="shared" si="168"/>
        <v>28.838162068926181</v>
      </c>
      <c r="S194" s="4">
        <f t="shared" si="169"/>
        <v>1.5361130999840693</v>
      </c>
      <c r="T194" s="4" t="str">
        <f t="shared" si="157"/>
        <v>1+0,0723119151888234i</v>
      </c>
      <c r="U194" s="4">
        <f t="shared" si="170"/>
        <v>1.0026110976237375</v>
      </c>
      <c r="V194" s="4">
        <f t="shared" si="171"/>
        <v>7.218626917325742E-2</v>
      </c>
      <c r="W194" t="str">
        <f t="shared" si="158"/>
        <v>1-0,0143876806460407i</v>
      </c>
      <c r="X194" s="4">
        <f t="shared" si="172"/>
        <v>1.0001034973213385</v>
      </c>
      <c r="Y194" s="4">
        <f t="shared" si="173"/>
        <v>-1.4386687993684819E-2</v>
      </c>
      <c r="Z194" t="str">
        <f t="shared" si="159"/>
        <v>0,999998675475514+0,00197675095259167i</v>
      </c>
      <c r="AA194" s="4">
        <f t="shared" si="174"/>
        <v>1.0000006292483574</v>
      </c>
      <c r="AB194" s="4">
        <f t="shared" si="175"/>
        <v>1.9767509960986578E-3</v>
      </c>
      <c r="AC194" s="47" t="str">
        <f t="shared" si="176"/>
        <v>0,171687338804297-1,89178829359277i</v>
      </c>
      <c r="AD194" s="20">
        <f t="shared" si="177"/>
        <v>5.5730739132346985</v>
      </c>
      <c r="AE194" s="43">
        <f t="shared" si="178"/>
        <v>-84.814384913856074</v>
      </c>
      <c r="AF194" t="str">
        <f t="shared" si="160"/>
        <v>171,265703090588</v>
      </c>
      <c r="AG194" t="str">
        <f t="shared" si="161"/>
        <v>1+28,5450029792686i</v>
      </c>
      <c r="AH194">
        <f t="shared" si="179"/>
        <v>28.562513808949888</v>
      </c>
      <c r="AI194">
        <f t="shared" si="180"/>
        <v>1.5357782463278522</v>
      </c>
      <c r="AJ194" t="str">
        <f t="shared" si="162"/>
        <v>1+0,0723119151888234i</v>
      </c>
      <c r="AK194">
        <f t="shared" si="181"/>
        <v>1.0026110976237375</v>
      </c>
      <c r="AL194">
        <f t="shared" si="182"/>
        <v>7.218626917325742E-2</v>
      </c>
      <c r="AM194" t="str">
        <f t="shared" si="163"/>
        <v>1-0,00454556534233193i</v>
      </c>
      <c r="AN194">
        <f t="shared" si="183"/>
        <v>1.0000103310287756</v>
      </c>
      <c r="AO194">
        <f t="shared" si="184"/>
        <v>-4.545534035647429E-3</v>
      </c>
      <c r="AP194" s="41" t="str">
        <f t="shared" si="185"/>
        <v>0,616089948879131-5,98023787391014i</v>
      </c>
      <c r="AQ194">
        <f t="shared" si="186"/>
        <v>15.580219369638231</v>
      </c>
      <c r="AR194" s="43">
        <f t="shared" si="187"/>
        <v>-84.118083136041577</v>
      </c>
      <c r="AS194" t="str">
        <f t="shared" si="164"/>
        <v>-0,0000166666666666667</v>
      </c>
      <c r="AT194" t="str">
        <f t="shared" si="165"/>
        <v>5,50293674586946E-06i</v>
      </c>
      <c r="AU194">
        <f t="shared" si="188"/>
        <v>5.5029367458694599E-6</v>
      </c>
      <c r="AV194">
        <f t="shared" si="189"/>
        <v>1.5707963267948966</v>
      </c>
      <c r="AW194" t="str">
        <f t="shared" si="166"/>
        <v>1+0,0172465343058757i</v>
      </c>
      <c r="AX194">
        <f t="shared" si="190"/>
        <v>1.0001487104153881</v>
      </c>
      <c r="AY194">
        <f t="shared" si="191"/>
        <v>1.7244824657657441E-2</v>
      </c>
      <c r="AZ194" t="str">
        <f t="shared" si="167"/>
        <v>1+1,19314660061559i</v>
      </c>
      <c r="BA194">
        <f t="shared" si="192"/>
        <v>1.5567911904171794</v>
      </c>
      <c r="BB194">
        <f t="shared" si="193"/>
        <v>0.87323978877507447</v>
      </c>
      <c r="BC194" s="41" t="str">
        <f t="shared" si="194"/>
        <v>-3,56037288639966+3,09008994512717i</v>
      </c>
      <c r="BD194">
        <f t="shared" si="195"/>
        <v>13.468400297092165</v>
      </c>
      <c r="BE194" s="43">
        <f t="shared" si="196"/>
        <v>139.04489872838039</v>
      </c>
      <c r="BF194" s="41" t="str">
        <f t="shared" si="197"/>
        <v>5,23452503832337+7,26600106666078i</v>
      </c>
      <c r="BG194" s="20">
        <f t="shared" si="198"/>
        <v>19.041474210326864</v>
      </c>
      <c r="BH194" s="43">
        <f t="shared" si="199"/>
        <v>54.230513814524336</v>
      </c>
      <c r="BI194" s="41" t="str">
        <f t="shared" si="203"/>
        <v>16,2859629740658+23,1956501368153i</v>
      </c>
      <c r="BJ194" s="20">
        <f t="shared" si="200"/>
        <v>29.048619666730389</v>
      </c>
      <c r="BK194" s="43">
        <f t="shared" si="204"/>
        <v>54.926815592338777</v>
      </c>
      <c r="BL194">
        <f t="shared" si="201"/>
        <v>19.041474210326864</v>
      </c>
      <c r="BM194" s="43">
        <f t="shared" si="202"/>
        <v>54.230513814524336</v>
      </c>
    </row>
    <row r="195" spans="14:65" x14ac:dyDescent="0.25">
      <c r="N195" s="9">
        <v>77</v>
      </c>
      <c r="O195" s="34">
        <f t="shared" si="205"/>
        <v>588.84365535558959</v>
      </c>
      <c r="P195" s="33" t="str">
        <f t="shared" si="155"/>
        <v>54,631621870174</v>
      </c>
      <c r="Q195" s="4" t="str">
        <f t="shared" si="156"/>
        <v>1+29,4921418248197i</v>
      </c>
      <c r="R195" s="4">
        <f t="shared" si="168"/>
        <v>29.509090623319445</v>
      </c>
      <c r="S195" s="4">
        <f t="shared" si="169"/>
        <v>1.5369019750639952</v>
      </c>
      <c r="T195" s="4" t="str">
        <f t="shared" si="157"/>
        <v>1+0,0739962760711232i</v>
      </c>
      <c r="U195" s="4">
        <f t="shared" si="170"/>
        <v>1.0027339870934833</v>
      </c>
      <c r="V195" s="4">
        <f t="shared" si="171"/>
        <v>7.3861663757404342E-2</v>
      </c>
      <c r="W195" t="str">
        <f t="shared" si="158"/>
        <v>1-0,0147228127802668i</v>
      </c>
      <c r="X195" s="4">
        <f t="shared" si="172"/>
        <v>1.0001083747355397</v>
      </c>
      <c r="Y195" s="4">
        <f t="shared" si="173"/>
        <v>-1.4721749140329043E-2</v>
      </c>
      <c r="Z195" t="str">
        <f t="shared" si="159"/>
        <v>0,999998613052598+0,00202279539727136i</v>
      </c>
      <c r="AA195" s="4">
        <f t="shared" si="174"/>
        <v>1.0000006589039523</v>
      </c>
      <c r="AB195" s="4">
        <f t="shared" si="175"/>
        <v>2.0227954438899014E-3</v>
      </c>
      <c r="AC195" s="47" t="str">
        <f t="shared" si="176"/>
        <v>0,168739671272756-1,84892648097147i</v>
      </c>
      <c r="AD195" s="20">
        <f t="shared" si="177"/>
        <v>5.3744156168627244</v>
      </c>
      <c r="AE195" s="43">
        <f t="shared" si="178"/>
        <v>-84.785426829918165</v>
      </c>
      <c r="AF195" t="str">
        <f t="shared" si="160"/>
        <v>171,265703090588</v>
      </c>
      <c r="AG195" t="str">
        <f t="shared" si="161"/>
        <v>1+29,2099015133188i</v>
      </c>
      <c r="AH195">
        <f t="shared" si="179"/>
        <v>29.227013983946158</v>
      </c>
      <c r="AI195">
        <f t="shared" si="180"/>
        <v>1.5365747257257272</v>
      </c>
      <c r="AJ195" t="str">
        <f t="shared" si="162"/>
        <v>1+0,0739962760711232i</v>
      </c>
      <c r="AK195">
        <f t="shared" si="181"/>
        <v>1.0027339870934833</v>
      </c>
      <c r="AL195">
        <f t="shared" si="182"/>
        <v>7.3861663757404342E-2</v>
      </c>
      <c r="AM195" t="str">
        <f t="shared" si="163"/>
        <v>1-0,00465144516076253i</v>
      </c>
      <c r="AN195">
        <f t="shared" si="183"/>
        <v>1.0000108179125282</v>
      </c>
      <c r="AO195">
        <f t="shared" si="184"/>
        <v>-4.6514116150653036E-3</v>
      </c>
      <c r="AP195" s="41" t="str">
        <f t="shared" si="185"/>
        <v>0,606674945646596-5,84452419137419i</v>
      </c>
      <c r="AQ195">
        <f t="shared" si="186"/>
        <v>15.381527758282218</v>
      </c>
      <c r="AR195" s="43">
        <f t="shared" si="187"/>
        <v>-84.073791343763901</v>
      </c>
      <c r="AS195" t="str">
        <f t="shared" si="164"/>
        <v>-0,0000166666666666667</v>
      </c>
      <c r="AT195" t="str">
        <f t="shared" si="165"/>
        <v>5,63111660901248E-06i</v>
      </c>
      <c r="AU195">
        <f t="shared" si="188"/>
        <v>5.6311166090124799E-6</v>
      </c>
      <c r="AV195">
        <f t="shared" si="189"/>
        <v>1.5707963267948966</v>
      </c>
      <c r="AW195" t="str">
        <f t="shared" si="166"/>
        <v>1+0,0176482576963323i</v>
      </c>
      <c r="AX195">
        <f t="shared" si="190"/>
        <v>1.0001557183757519</v>
      </c>
      <c r="AY195">
        <f t="shared" si="191"/>
        <v>1.7646425790665304E-2</v>
      </c>
      <c r="AZ195" t="str">
        <f t="shared" si="167"/>
        <v>1+1,22093855517353i</v>
      </c>
      <c r="BA195">
        <f t="shared" si="192"/>
        <v>1.5781923062508025</v>
      </c>
      <c r="BB195">
        <f t="shared" si="193"/>
        <v>0.88455175411948295</v>
      </c>
      <c r="BC195" s="41" t="str">
        <f t="shared" si="194"/>
        <v>-3,56032299243974+3,02257804280957i</v>
      </c>
      <c r="BD195">
        <f t="shared" si="195"/>
        <v>13.386930566118199</v>
      </c>
      <c r="BE195" s="43">
        <f t="shared" si="196"/>
        <v>139.67001655064431</v>
      </c>
      <c r="BF195" s="41" t="str">
        <f t="shared" si="197"/>
        <v>4,98775685278441+7,09280428687336i</v>
      </c>
      <c r="BG195" s="20">
        <f t="shared" si="198"/>
        <v>18.761346182980922</v>
      </c>
      <c r="BH195" s="43">
        <f t="shared" si="199"/>
        <v>54.884589720726197</v>
      </c>
      <c r="BI195" s="41" t="str">
        <f t="shared" si="203"/>
        <v>15,5055717335943+22,6421162282539i</v>
      </c>
      <c r="BJ195" s="20">
        <f t="shared" si="200"/>
        <v>28.76845832440042</v>
      </c>
      <c r="BK195" s="43">
        <f t="shared" si="204"/>
        <v>55.596225206880391</v>
      </c>
      <c r="BL195">
        <f t="shared" si="201"/>
        <v>18.761346182980922</v>
      </c>
      <c r="BM195" s="43">
        <f t="shared" si="202"/>
        <v>54.884589720726197</v>
      </c>
    </row>
    <row r="196" spans="14:65" x14ac:dyDescent="0.25">
      <c r="N196" s="9">
        <v>78</v>
      </c>
      <c r="O196" s="34">
        <f t="shared" si="205"/>
        <v>602.55958607435832</v>
      </c>
      <c r="P196" s="33" t="str">
        <f t="shared" si="155"/>
        <v>54,631621870174</v>
      </c>
      <c r="Q196" s="4" t="str">
        <f t="shared" si="156"/>
        <v>1+30,1791020566882i</v>
      </c>
      <c r="R196" s="4">
        <f t="shared" si="168"/>
        <v>30.195665267518148</v>
      </c>
      <c r="S196" s="4">
        <f t="shared" si="169"/>
        <v>1.5376729339367801</v>
      </c>
      <c r="T196" s="4" t="str">
        <f t="shared" si="157"/>
        <v>1+0,0757198707584524i</v>
      </c>
      <c r="U196" s="4">
        <f t="shared" si="170"/>
        <v>1.0028626520255288</v>
      </c>
      <c r="V196" s="4">
        <f t="shared" si="171"/>
        <v>7.5575653293305858E-2</v>
      </c>
      <c r="W196" t="str">
        <f t="shared" si="158"/>
        <v>1-0,0150657511447086i</v>
      </c>
      <c r="X196" s="4">
        <f t="shared" si="172"/>
        <v>1.0001134819896962</v>
      </c>
      <c r="Y196" s="4">
        <f t="shared" si="173"/>
        <v>-1.5064611440965891E-2</v>
      </c>
      <c r="Z196" t="str">
        <f t="shared" si="159"/>
        <v>0,999998547687781+0,00206991235484554i</v>
      </c>
      <c r="AA196" s="4">
        <f t="shared" si="174"/>
        <v>1.0000006899571761</v>
      </c>
      <c r="AB196" s="4">
        <f t="shared" si="175"/>
        <v>2.0699124047981652E-3</v>
      </c>
      <c r="AC196" s="47" t="str">
        <f t="shared" si="176"/>
        <v>0,165924354649967-1,80703600494245i</v>
      </c>
      <c r="AD196" s="20">
        <f t="shared" si="177"/>
        <v>5.1757986290563647</v>
      </c>
      <c r="AE196" s="43">
        <f t="shared" si="178"/>
        <v>-84.753739318754299</v>
      </c>
      <c r="AF196" t="str">
        <f t="shared" si="160"/>
        <v>171,265703090588</v>
      </c>
      <c r="AG196" t="str">
        <f t="shared" si="161"/>
        <v>1+29,8902875237901i</v>
      </c>
      <c r="AH196">
        <f t="shared" si="179"/>
        <v>29.907010687376335</v>
      </c>
      <c r="AI196">
        <f t="shared" si="180"/>
        <v>1.5373531170128045</v>
      </c>
      <c r="AJ196" t="str">
        <f t="shared" si="162"/>
        <v>1+0,0757198707584524i</v>
      </c>
      <c r="AK196">
        <f t="shared" si="181"/>
        <v>1.0028626520255288</v>
      </c>
      <c r="AL196">
        <f t="shared" si="182"/>
        <v>7.5575653293305858E-2</v>
      </c>
      <c r="AM196" t="str">
        <f t="shared" si="163"/>
        <v>1-0,00475979123698652i</v>
      </c>
      <c r="AN196">
        <f t="shared" si="183"/>
        <v>1.000011327742151</v>
      </c>
      <c r="AO196">
        <f t="shared" si="184"/>
        <v>-4.7597552921463246E-3</v>
      </c>
      <c r="AP196" s="41" t="str">
        <f t="shared" si="185"/>
        <v>0,597682717514239-5,7118803638929i</v>
      </c>
      <c r="AQ196">
        <f t="shared" si="186"/>
        <v>15.182875466292881</v>
      </c>
      <c r="AR196" s="43">
        <f t="shared" si="187"/>
        <v>-84.026393148220123</v>
      </c>
      <c r="AS196" t="str">
        <f t="shared" si="164"/>
        <v>-0,0000166666666666667</v>
      </c>
      <c r="AT196" t="str">
        <f t="shared" si="165"/>
        <v>5,76228216471823E-06i</v>
      </c>
      <c r="AU196">
        <f t="shared" si="188"/>
        <v>5.7622821647182297E-6</v>
      </c>
      <c r="AV196">
        <f t="shared" si="189"/>
        <v>1.5707963267948966</v>
      </c>
      <c r="AW196" t="str">
        <f t="shared" si="166"/>
        <v>1+0,0180593384266217i</v>
      </c>
      <c r="AX196">
        <f t="shared" si="190"/>
        <v>1.0001630565584829</v>
      </c>
      <c r="AY196">
        <f t="shared" si="191"/>
        <v>1.8057375521617392E-2</v>
      </c>
      <c r="AZ196" t="str">
        <f t="shared" si="167"/>
        <v>1+1,24937786751446i</v>
      </c>
      <c r="BA196">
        <f t="shared" si="192"/>
        <v>1.6002953026972802</v>
      </c>
      <c r="BB196">
        <f t="shared" si="193"/>
        <v>0.89581252746503059</v>
      </c>
      <c r="BC196" s="41" t="str">
        <f t="shared" si="194"/>
        <v>-3,56027074854872+2,95666866838662i</v>
      </c>
      <c r="BD196">
        <f t="shared" si="195"/>
        <v>13.307671010005123</v>
      </c>
      <c r="BE196" s="43">
        <f t="shared" si="196"/>
        <v>140.29166565222187</v>
      </c>
      <c r="BF196" s="41" t="str">
        <f t="shared" si="197"/>
        <v>4,75207111212777+6,92412077068677i</v>
      </c>
      <c r="BG196" s="20">
        <f t="shared" si="198"/>
        <v>18.483469639061486</v>
      </c>
      <c r="BH196" s="43">
        <f t="shared" si="199"/>
        <v>55.537926333467553</v>
      </c>
      <c r="BI196" s="41" t="str">
        <f t="shared" si="203"/>
        <v>14,7602254134158+22,1029903432882i</v>
      </c>
      <c r="BJ196" s="20">
        <f t="shared" si="200"/>
        <v>28.49054647629799</v>
      </c>
      <c r="BK196" s="43">
        <f t="shared" si="204"/>
        <v>56.265272504001786</v>
      </c>
      <c r="BL196">
        <f t="shared" si="201"/>
        <v>18.483469639061486</v>
      </c>
      <c r="BM196" s="43">
        <f t="shared" si="202"/>
        <v>55.537926333467553</v>
      </c>
    </row>
    <row r="197" spans="14:65" x14ac:dyDescent="0.25">
      <c r="N197" s="9">
        <v>79</v>
      </c>
      <c r="O197" s="34">
        <f t="shared" si="205"/>
        <v>616.59500186148273</v>
      </c>
      <c r="P197" s="33" t="str">
        <f t="shared" si="155"/>
        <v>54,631621870174</v>
      </c>
      <c r="Q197" s="4" t="str">
        <f t="shared" si="156"/>
        <v>1+30,8820636479347i</v>
      </c>
      <c r="R197" s="4">
        <f t="shared" si="168"/>
        <v>30.898250033862595</v>
      </c>
      <c r="S197" s="4">
        <f t="shared" si="169"/>
        <v>1.5384263817070023</v>
      </c>
      <c r="T197" s="4" t="str">
        <f t="shared" si="157"/>
        <v>1+0,0774836131235288i</v>
      </c>
      <c r="U197" s="4">
        <f t="shared" si="170"/>
        <v>1.0029973630586855</v>
      </c>
      <c r="V197" s="4">
        <f t="shared" si="171"/>
        <v>7.7329106256030303E-2</v>
      </c>
      <c r="W197" t="str">
        <f t="shared" si="158"/>
        <v>1-0,0154166775698261i</v>
      </c>
      <c r="X197" s="4">
        <f t="shared" si="172"/>
        <v>1.0001188299133719</v>
      </c>
      <c r="Y197" s="4">
        <f t="shared" si="173"/>
        <v>-1.5415456363100068E-2</v>
      </c>
      <c r="Z197" t="str">
        <f t="shared" si="159"/>
        <v>0,999998479242415+0,0021181268073488i</v>
      </c>
      <c r="AA197" s="4">
        <f t="shared" si="174"/>
        <v>1.0000007224738963</v>
      </c>
      <c r="AB197" s="4">
        <f t="shared" si="175"/>
        <v>2.118126860873956E-3</v>
      </c>
      <c r="AC197" s="47" t="str">
        <f t="shared" si="176"/>
        <v>0,163235457473822-1,76609525327284i</v>
      </c>
      <c r="AD197" s="20">
        <f t="shared" si="177"/>
        <v>4.9772258422997613</v>
      </c>
      <c r="AE197" s="43">
        <f t="shared" si="178"/>
        <v>-84.71930765987932</v>
      </c>
      <c r="AF197" t="str">
        <f t="shared" si="160"/>
        <v>171,265703090588</v>
      </c>
      <c r="AG197" t="str">
        <f t="shared" si="161"/>
        <v>1+30,5865217603513i</v>
      </c>
      <c r="AH197">
        <f t="shared" si="179"/>
        <v>30.602864463909967</v>
      </c>
      <c r="AI197">
        <f t="shared" si="180"/>
        <v>1.5381138291273173</v>
      </c>
      <c r="AJ197" t="str">
        <f t="shared" si="162"/>
        <v>1+0,0774836131235288i</v>
      </c>
      <c r="AK197">
        <f t="shared" si="181"/>
        <v>1.0029973630586855</v>
      </c>
      <c r="AL197">
        <f t="shared" si="182"/>
        <v>7.7329106256030303E-2</v>
      </c>
      <c r="AM197" t="str">
        <f t="shared" si="163"/>
        <v>1-0,00487066101752766i</v>
      </c>
      <c r="AN197">
        <f t="shared" si="183"/>
        <v>1.000011861599025</v>
      </c>
      <c r="AO197">
        <f t="shared" si="184"/>
        <v>-4.8706225019621409E-3</v>
      </c>
      <c r="AP197" s="41" t="str">
        <f t="shared" si="185"/>
        <v>0,58909432166429-5,58223799256669i</v>
      </c>
      <c r="AQ197">
        <f t="shared" si="186"/>
        <v>14.984265311268661</v>
      </c>
      <c r="AR197" s="43">
        <f t="shared" si="187"/>
        <v>-83.975865510676215</v>
      </c>
      <c r="AS197" t="str">
        <f t="shared" si="164"/>
        <v>-0,0000166666666666667</v>
      </c>
      <c r="AT197" t="str">
        <f t="shared" si="165"/>
        <v>5,89650295870054E-06i</v>
      </c>
      <c r="AU197">
        <f t="shared" si="188"/>
        <v>5.8965029587005396E-6</v>
      </c>
      <c r="AV197">
        <f t="shared" si="189"/>
        <v>1.5707963267948966</v>
      </c>
      <c r="AW197" t="str">
        <f t="shared" si="166"/>
        <v>1+0,0184799944571885i</v>
      </c>
      <c r="AX197">
        <f t="shared" si="190"/>
        <v>1.000170740521406</v>
      </c>
      <c r="AY197">
        <f t="shared" si="191"/>
        <v>1.8477891185973747E-2</v>
      </c>
      <c r="AZ197" t="str">
        <f t="shared" si="167"/>
        <v>1+1,27847961653823i</v>
      </c>
      <c r="BA197">
        <f t="shared" si="192"/>
        <v>1.6231174110038187</v>
      </c>
      <c r="BB197">
        <f t="shared" si="193"/>
        <v>0.90701665672382281</v>
      </c>
      <c r="BC197" s="41" t="str">
        <f t="shared" si="194"/>
        <v>-3,56021604412234+2,89232686990394i</v>
      </c>
      <c r="BD197">
        <f t="shared" si="195"/>
        <v>13.230600397833578</v>
      </c>
      <c r="BE197" s="43">
        <f t="shared" si="196"/>
        <v>140.90952119908292</v>
      </c>
      <c r="BF197" s="41" t="str">
        <f t="shared" si="197"/>
        <v>4,52697126118289+6,75981095592287i</v>
      </c>
      <c r="BG197" s="20">
        <f t="shared" si="198"/>
        <v>18.207826240133343</v>
      </c>
      <c r="BH197" s="43">
        <f t="shared" si="199"/>
        <v>56.190213539203583</v>
      </c>
      <c r="BI197" s="41" t="str">
        <f t="shared" si="203"/>
        <v>14,0483538846087+21,5778265987027i</v>
      </c>
      <c r="BJ197" s="20">
        <f t="shared" si="200"/>
        <v>28.214865709102245</v>
      </c>
      <c r="BK197" s="43">
        <f t="shared" si="204"/>
        <v>56.933655688406731</v>
      </c>
      <c r="BL197">
        <f t="shared" si="201"/>
        <v>18.207826240133343</v>
      </c>
      <c r="BM197" s="43">
        <f t="shared" si="202"/>
        <v>56.190213539203583</v>
      </c>
    </row>
    <row r="198" spans="14:65" x14ac:dyDescent="0.25">
      <c r="N198" s="9">
        <v>80</v>
      </c>
      <c r="O198" s="34">
        <f t="shared" si="205"/>
        <v>630.95734448019323</v>
      </c>
      <c r="P198" s="33" t="str">
        <f t="shared" si="155"/>
        <v>54,631621870174</v>
      </c>
      <c r="Q198" s="4" t="str">
        <f t="shared" si="156"/>
        <v>1+31,6013993180998i</v>
      </c>
      <c r="R198" s="4">
        <f t="shared" si="168"/>
        <v>31.617217443380412</v>
      </c>
      <c r="S198" s="4">
        <f t="shared" si="169"/>
        <v>1.5391627144389275</v>
      </c>
      <c r="T198" s="4" t="str">
        <f t="shared" si="157"/>
        <v>1+0,0792884383259i</v>
      </c>
      <c r="U198" s="4">
        <f t="shared" si="170"/>
        <v>1.0031384034380102</v>
      </c>
      <c r="V198" s="4">
        <f t="shared" si="171"/>
        <v>7.9122909196139846E-2</v>
      </c>
      <c r="W198" t="str">
        <f t="shared" si="158"/>
        <v>1-0,0157757781214549i</v>
      </c>
      <c r="X198" s="4">
        <f t="shared" si="172"/>
        <v>1.0001244298462753</v>
      </c>
      <c r="Y198" s="4">
        <f t="shared" si="173"/>
        <v>-1.5774469583664866E-2</v>
      </c>
      <c r="Z198" t="str">
        <f t="shared" si="159"/>
        <v>0,999998407571318+0,00216746431872203i</v>
      </c>
      <c r="AA198" s="4">
        <f t="shared" si="174"/>
        <v>1.0000007565230862</v>
      </c>
      <c r="AB198" s="4">
        <f t="shared" si="175"/>
        <v>2.1674643760752161E-3</v>
      </c>
      <c r="AC198" s="47" t="str">
        <f t="shared" si="176"/>
        <v>0,160667312904896-1,72608307746982i</v>
      </c>
      <c r="AD198" s="20">
        <f t="shared" si="177"/>
        <v>4.7787002391967768</v>
      </c>
      <c r="AE198" s="43">
        <f t="shared" si="178"/>
        <v>-84.682115853709973</v>
      </c>
      <c r="AF198" t="str">
        <f t="shared" si="160"/>
        <v>171,265703090588</v>
      </c>
      <c r="AG198" t="str">
        <f t="shared" si="161"/>
        <v>1+31,2989733756102i</v>
      </c>
      <c r="AH198">
        <f t="shared" si="179"/>
        <v>31.314944265752029</v>
      </c>
      <c r="AI198">
        <f t="shared" si="180"/>
        <v>1.5388572618851959</v>
      </c>
      <c r="AJ198" t="str">
        <f t="shared" si="162"/>
        <v>1+0,0792884383259i</v>
      </c>
      <c r="AK198">
        <f t="shared" si="181"/>
        <v>1.0031384034380102</v>
      </c>
      <c r="AL198">
        <f t="shared" si="182"/>
        <v>7.9122909196139846E-2</v>
      </c>
      <c r="AM198" t="str">
        <f t="shared" si="163"/>
        <v>1-0,00498411328701109i</v>
      </c>
      <c r="AN198">
        <f t="shared" si="183"/>
        <v>1.000012420615493</v>
      </c>
      <c r="AO198">
        <f t="shared" si="184"/>
        <v>-4.9840720168667692E-3</v>
      </c>
      <c r="AP198" s="41" t="str">
        <f t="shared" si="185"/>
        <v>0,580891660367908-5,45553014151226i</v>
      </c>
      <c r="AQ198">
        <f t="shared" si="186"/>
        <v>14.785700196561134</v>
      </c>
      <c r="AR198" s="43">
        <f t="shared" si="187"/>
        <v>-83.922183910699843</v>
      </c>
      <c r="AS198" t="str">
        <f t="shared" si="164"/>
        <v>-0,0000166666666666667</v>
      </c>
      <c r="AT198" t="str">
        <f t="shared" si="165"/>
        <v>6,03385015660099E-06i</v>
      </c>
      <c r="AU198">
        <f t="shared" si="188"/>
        <v>6.0338501566009902E-6</v>
      </c>
      <c r="AV198">
        <f t="shared" si="189"/>
        <v>1.5707963267948966</v>
      </c>
      <c r="AW198" t="str">
        <f t="shared" si="166"/>
        <v>1+0,0189104488254282i</v>
      </c>
      <c r="AX198">
        <f t="shared" si="190"/>
        <v>1.0001787865550733</v>
      </c>
      <c r="AY198">
        <f t="shared" si="191"/>
        <v>1.8908195151474814E-2</v>
      </c>
      <c r="AZ198" t="str">
        <f t="shared" si="167"/>
        <v>1+1,30825923237735i</v>
      </c>
      <c r="BA198">
        <f t="shared" si="192"/>
        <v>1.6466761123853633</v>
      </c>
      <c r="BB198">
        <f t="shared" si="193"/>
        <v>0.91815883121314379</v>
      </c>
      <c r="BC198" s="41" t="str">
        <f t="shared" si="194"/>
        <v>-3,56015876335749+2,82951852613292i</v>
      </c>
      <c r="BD198">
        <f t="shared" si="195"/>
        <v>13.15569550350552</v>
      </c>
      <c r="BE198" s="43">
        <f t="shared" si="196"/>
        <v>141.52326617078842</v>
      </c>
      <c r="BF198" s="41" t="str">
        <f t="shared" si="197"/>
        <v>4,31198290332191+6,59974093294564i</v>
      </c>
      <c r="BG198" s="20">
        <f t="shared" si="198"/>
        <v>17.934395742702293</v>
      </c>
      <c r="BH198" s="43">
        <f t="shared" si="199"/>
        <v>56.841150317078473</v>
      </c>
      <c r="BI198" s="41" t="str">
        <f t="shared" si="203"/>
        <v>13,3684570700654+21,0661971567529i</v>
      </c>
      <c r="BJ198" s="20">
        <f t="shared" si="200"/>
        <v>27.94139570006665</v>
      </c>
      <c r="BK198" s="43">
        <f t="shared" si="204"/>
        <v>57.601082260088582</v>
      </c>
      <c r="BL198">
        <f t="shared" si="201"/>
        <v>17.934395742702293</v>
      </c>
      <c r="BM198" s="43">
        <f t="shared" si="202"/>
        <v>56.841150317078473</v>
      </c>
    </row>
    <row r="199" spans="14:65" x14ac:dyDescent="0.25">
      <c r="N199" s="9">
        <v>81</v>
      </c>
      <c r="O199" s="34">
        <f t="shared" si="205"/>
        <v>645.65422903465594</v>
      </c>
      <c r="P199" s="33" t="str">
        <f t="shared" si="155"/>
        <v>54,631621870174</v>
      </c>
      <c r="Q199" s="4" t="str">
        <f t="shared" si="156"/>
        <v>1+32,3374904684773i</v>
      </c>
      <c r="R199" s="4">
        <f t="shared" si="168"/>
        <v>32.35294870330771</v>
      </c>
      <c r="S199" s="4">
        <f t="shared" si="169"/>
        <v>1.5398823193502569</v>
      </c>
      <c r="T199" s="4" t="str">
        <f t="shared" si="157"/>
        <v>1+0,0811353033077782i</v>
      </c>
      <c r="U199" s="4">
        <f t="shared" si="170"/>
        <v>1.0032860695947319</v>
      </c>
      <c r="V199" s="4">
        <f t="shared" si="171"/>
        <v>8.0957967010139062E-2</v>
      </c>
      <c r="W199" t="str">
        <f t="shared" si="158"/>
        <v>1-0,0161432431994608i</v>
      </c>
      <c r="X199" s="4">
        <f t="shared" si="172"/>
        <v>1.0001302936622793</v>
      </c>
      <c r="Y199" s="4">
        <f t="shared" si="173"/>
        <v>-1.614184108582244E-2</v>
      </c>
      <c r="Z199" t="str">
        <f t="shared" si="159"/>
        <v>0,999998332522466+0,00221795104836683i</v>
      </c>
      <c r="AA199" s="4">
        <f t="shared" si="174"/>
        <v>1.0000007921769689</v>
      </c>
      <c r="AB199" s="4">
        <f t="shared" si="175"/>
        <v>2.2179511098218193E-3</v>
      </c>
      <c r="AC199" s="47" t="str">
        <f t="shared" si="176"/>
        <v>0,158214507015959-1,68697878420968i</v>
      </c>
      <c r="AD199" s="20">
        <f t="shared" si="177"/>
        <v>4.5802248984253859</v>
      </c>
      <c r="AE199" s="43">
        <f t="shared" si="178"/>
        <v>-84.64214662349346</v>
      </c>
      <c r="AF199" t="str">
        <f t="shared" si="160"/>
        <v>171,265703090588</v>
      </c>
      <c r="AG199" t="str">
        <f t="shared" si="161"/>
        <v>1+32,0280201208438i</v>
      </c>
      <c r="AH199">
        <f t="shared" si="179"/>
        <v>32.043627648273144</v>
      </c>
      <c r="AI199">
        <f t="shared" si="180"/>
        <v>1.5395838061753333</v>
      </c>
      <c r="AJ199" t="str">
        <f t="shared" si="162"/>
        <v>1+0,0811353033077782i</v>
      </c>
      <c r="AK199">
        <f t="shared" si="181"/>
        <v>1.0032860695947319</v>
      </c>
      <c r="AL199">
        <f t="shared" si="182"/>
        <v>8.0957967010139062E-2</v>
      </c>
      <c r="AM199" t="str">
        <f t="shared" si="163"/>
        <v>1-0,00510020819933184i</v>
      </c>
      <c r="AN199">
        <f t="shared" si="183"/>
        <v>1.0000130059772605</v>
      </c>
      <c r="AO199">
        <f t="shared" si="184"/>
        <v>-5.1001639776065335E-3</v>
      </c>
      <c r="AP199" s="41" t="str">
        <f t="shared" si="185"/>
        <v>0,573057443605599-5,33169131089164i</v>
      </c>
      <c r="AQ199">
        <f t="shared" si="186"/>
        <v>14.587183117060988</v>
      </c>
      <c r="AR199" s="43">
        <f t="shared" si="187"/>
        <v>-83.865322343635157</v>
      </c>
      <c r="AS199" t="str">
        <f t="shared" si="164"/>
        <v>-0,0000166666666666667</v>
      </c>
      <c r="AT199" t="str">
        <f t="shared" si="165"/>
        <v>6,17439658172193E-06i</v>
      </c>
      <c r="AU199">
        <f t="shared" si="188"/>
        <v>6.1743965817219303E-6</v>
      </c>
      <c r="AV199">
        <f t="shared" si="189"/>
        <v>1.5707963267948966</v>
      </c>
      <c r="AW199" t="str">
        <f t="shared" si="166"/>
        <v>1+0,0193509297639445i</v>
      </c>
      <c r="AX199">
        <f t="shared" si="190"/>
        <v>1.000187211717251</v>
      </c>
      <c r="AY199">
        <f t="shared" si="191"/>
        <v>1.9348514933207332E-2</v>
      </c>
      <c r="AZ199" t="str">
        <f t="shared" si="167"/>
        <v>1+1,33873250457834i</v>
      </c>
      <c r="BA199">
        <f t="shared" si="192"/>
        <v>1.6709891438350506</v>
      </c>
      <c r="BB199">
        <f t="shared" si="193"/>
        <v>0.92923389294047343</v>
      </c>
      <c r="BC199" s="41" t="str">
        <f t="shared" si="194"/>
        <v>-3,56009878500887+2,76821032844897i</v>
      </c>
      <c r="BD199">
        <f t="shared" si="195"/>
        <v>13.082931195485838</v>
      </c>
      <c r="BE199" s="43">
        <f t="shared" si="196"/>
        <v>142.13259200048176</v>
      </c>
      <c r="BF199" s="41" t="str">
        <f t="shared" si="197"/>
        <v>4,10665282012523+6,44378215243266i</v>
      </c>
      <c r="BG199" s="20">
        <f t="shared" si="198"/>
        <v>17.663156093911219</v>
      </c>
      <c r="BH199" s="43">
        <f t="shared" si="199"/>
        <v>57.490445376988312</v>
      </c>
      <c r="BI199" s="41" t="str">
        <f t="shared" si="203"/>
        <v>12,7191018461913+20,5676912921313i</v>
      </c>
      <c r="BJ199" s="20">
        <f t="shared" si="200"/>
        <v>27.67011431254684</v>
      </c>
      <c r="BK199" s="43">
        <f t="shared" si="204"/>
        <v>58.267269656846658</v>
      </c>
      <c r="BL199">
        <f t="shared" si="201"/>
        <v>17.663156093911219</v>
      </c>
      <c r="BM199" s="43">
        <f t="shared" si="202"/>
        <v>57.490445376988312</v>
      </c>
    </row>
    <row r="200" spans="14:65" x14ac:dyDescent="0.25">
      <c r="N200" s="9">
        <v>82</v>
      </c>
      <c r="O200" s="34">
        <f t="shared" si="205"/>
        <v>660.69344800759643</v>
      </c>
      <c r="P200" s="33" t="str">
        <f t="shared" si="155"/>
        <v>54,631621870174</v>
      </c>
      <c r="Q200" s="4" t="str">
        <f t="shared" si="156"/>
        <v>1+33,0907273843385i</v>
      </c>
      <c r="R200" s="4">
        <f t="shared" si="168"/>
        <v>33.105833909216209</v>
      </c>
      <c r="S200" s="4">
        <f t="shared" si="169"/>
        <v>1.5405855750022635</v>
      </c>
      <c r="T200" s="4" t="str">
        <f t="shared" si="157"/>
        <v>1+0,083025187301423i</v>
      </c>
      <c r="U200" s="4">
        <f t="shared" si="170"/>
        <v>1.0034406717521651</v>
      </c>
      <c r="V200" s="4">
        <f t="shared" si="171"/>
        <v>8.2835203206867825E-2</v>
      </c>
      <c r="W200" t="str">
        <f t="shared" si="158"/>
        <v>1-0,0165192676386922i</v>
      </c>
      <c r="X200" s="4">
        <f t="shared" si="172"/>
        <v>1.0001364337945693</v>
      </c>
      <c r="Y200" s="4">
        <f t="shared" si="173"/>
        <v>-1.6517765257929411E-2</v>
      </c>
      <c r="Z200" t="str">
        <f t="shared" si="159"/>
        <v>0,999998253936671+0,00226961376501553i</v>
      </c>
      <c r="AA200" s="4">
        <f t="shared" si="174"/>
        <v>1.0000008295111724</v>
      </c>
      <c r="AB200" s="4">
        <f t="shared" si="175"/>
        <v>2.2696138308656712E-3</v>
      </c>
      <c r="AC200" s="47" t="str">
        <f t="shared" si="176"/>
        <v>0,155871867590827-1,64876212683341i</v>
      </c>
      <c r="AD200" s="20">
        <f t="shared" si="177"/>
        <v>4.3818030008623312</v>
      </c>
      <c r="AE200" s="43">
        <f t="shared" si="178"/>
        <v>-84.599381417403052</v>
      </c>
      <c r="AF200" t="str">
        <f t="shared" si="160"/>
        <v>171,265703090588</v>
      </c>
      <c r="AG200" t="str">
        <f t="shared" si="161"/>
        <v>1+32,7740485462865i</v>
      </c>
      <c r="AH200">
        <f t="shared" si="179"/>
        <v>32.789300970199783</v>
      </c>
      <c r="AI200">
        <f t="shared" si="180"/>
        <v>1.5402938441512271</v>
      </c>
      <c r="AJ200" t="str">
        <f t="shared" si="162"/>
        <v>1+0,083025187301423i</v>
      </c>
      <c r="AK200">
        <f t="shared" si="181"/>
        <v>1.0034406717521651</v>
      </c>
      <c r="AL200">
        <f t="shared" si="182"/>
        <v>8.2835203206867825E-2</v>
      </c>
      <c r="AM200" t="str">
        <f t="shared" si="163"/>
        <v>1-0,00521900730954912i</v>
      </c>
      <c r="AN200">
        <f t="shared" si="183"/>
        <v>1.000013618925911</v>
      </c>
      <c r="AO200">
        <f t="shared" si="184"/>
        <v>-5.2189599251515955E-3</v>
      </c>
      <c r="AP200" s="41" t="str">
        <f t="shared" si="185"/>
        <v>0,56557515331261-5,2106574101398i</v>
      </c>
      <c r="AQ200">
        <f t="shared" si="186"/>
        <v>14.388717165145797</v>
      </c>
      <c r="AR200" s="43">
        <f t="shared" si="187"/>
        <v>-83.805253318143727</v>
      </c>
      <c r="AS200" t="str">
        <f t="shared" si="164"/>
        <v>-0,0000166666666666667</v>
      </c>
      <c r="AT200" t="str">
        <f t="shared" si="165"/>
        <v>6,31821675363829E-06i</v>
      </c>
      <c r="AU200">
        <f t="shared" si="188"/>
        <v>6.3182167536382902E-6</v>
      </c>
      <c r="AV200">
        <f t="shared" si="189"/>
        <v>1.5707963267948966</v>
      </c>
      <c r="AW200" t="str">
        <f t="shared" si="166"/>
        <v>1+0,0198016708215615i</v>
      </c>
      <c r="AX200">
        <f t="shared" si="190"/>
        <v>1.0001960338690239</v>
      </c>
      <c r="AY200">
        <f t="shared" si="191"/>
        <v>1.9799083311197327E-2</v>
      </c>
      <c r="AZ200" t="str">
        <f t="shared" si="167"/>
        <v>1+1,36991559047348i</v>
      </c>
      <c r="BA200">
        <f t="shared" si="192"/>
        <v>1.6960745045611363</v>
      </c>
      <c r="BB200">
        <f t="shared" si="193"/>
        <v>0.94023684700302124</v>
      </c>
      <c r="BC200" s="41" t="str">
        <f t="shared" si="194"/>
        <v>-3,56003598213379+2,70836976313839i</v>
      </c>
      <c r="BD200">
        <f t="shared" si="195"/>
        <v>13.012280532279831</v>
      </c>
      <c r="BE200" s="43">
        <f t="shared" si="196"/>
        <v>142.73719916400131</v>
      </c>
      <c r="BF200" s="41" t="str">
        <f t="shared" si="197"/>
        <v>3,91054803369761+6,29181115061328i</v>
      </c>
      <c r="BG200" s="20">
        <f t="shared" si="198"/>
        <v>17.394083533142158</v>
      </c>
      <c r="BH200" s="43">
        <f t="shared" si="199"/>
        <v>58.137817746598273</v>
      </c>
      <c r="BI200" s="41" t="str">
        <f t="shared" si="203"/>
        <v>12,0989190793019+20,081914514684i</v>
      </c>
      <c r="BJ200" s="20">
        <f t="shared" si="200"/>
        <v>27.400997697425634</v>
      </c>
      <c r="BK200" s="43">
        <f t="shared" si="204"/>
        <v>58.931945845857605</v>
      </c>
      <c r="BL200">
        <f t="shared" si="201"/>
        <v>17.394083533142158</v>
      </c>
      <c r="BM200" s="43">
        <f t="shared" si="202"/>
        <v>58.137817746598273</v>
      </c>
    </row>
    <row r="201" spans="14:65" x14ac:dyDescent="0.25">
      <c r="N201" s="9">
        <v>83</v>
      </c>
      <c r="O201" s="34">
        <f t="shared" si="205"/>
        <v>676.08297539198213</v>
      </c>
      <c r="P201" s="33" t="str">
        <f t="shared" si="155"/>
        <v>54,631621870174</v>
      </c>
      <c r="Q201" s="4" t="str">
        <f t="shared" si="156"/>
        <v>1+33,8615094418665i</v>
      </c>
      <c r="R201" s="4">
        <f t="shared" si="168"/>
        <v>33.876272251852242</v>
      </c>
      <c r="S201" s="4">
        <f t="shared" si="169"/>
        <v>1.5412728514863461</v>
      </c>
      <c r="T201" s="4" t="str">
        <f t="shared" si="157"/>
        <v>1+0,0849590923483432i</v>
      </c>
      <c r="U201" s="4">
        <f t="shared" si="170"/>
        <v>1.0036025345587039</v>
      </c>
      <c r="V201" s="4">
        <f t="shared" si="171"/>
        <v>8.475556016905518E-2</v>
      </c>
      <c r="W201" t="str">
        <f t="shared" si="158"/>
        <v>1-0,016904050812284i</v>
      </c>
      <c r="X201" s="4">
        <f t="shared" si="172"/>
        <v>1.0001428632619762</v>
      </c>
      <c r="Y201" s="4">
        <f t="shared" si="173"/>
        <v>-1.6902440994712085E-2</v>
      </c>
      <c r="Z201" t="str">
        <f t="shared" si="159"/>
        <v>0,999998171647242+0,00232247986092433i</v>
      </c>
      <c r="AA201" s="4">
        <f t="shared" si="174"/>
        <v>1.0000008686048885</v>
      </c>
      <c r="AB201" s="4">
        <f t="shared" si="175"/>
        <v>2.3224799314839539E-3</v>
      </c>
      <c r="AC201" s="47" t="str">
        <f t="shared" si="176"/>
        <v>0,153634453411163-1,61141329691599i</v>
      </c>
      <c r="AD201" s="20">
        <f t="shared" si="177"/>
        <v>4.1834378358886806</v>
      </c>
      <c r="AE201" s="43">
        <f t="shared" si="178"/>
        <v>-84.553800410851153</v>
      </c>
      <c r="AF201" t="str">
        <f t="shared" si="160"/>
        <v>171,265703090588</v>
      </c>
      <c r="AG201" t="str">
        <f t="shared" si="161"/>
        <v>1+33,5374542060842i</v>
      </c>
      <c r="AH201">
        <f t="shared" si="179"/>
        <v>33.552359598472279</v>
      </c>
      <c r="AI201">
        <f t="shared" si="180"/>
        <v>1.5409877494190245</v>
      </c>
      <c r="AJ201" t="str">
        <f t="shared" si="162"/>
        <v>1+0,0849590923483432i</v>
      </c>
      <c r="AK201">
        <f t="shared" si="181"/>
        <v>1.0036025345587039</v>
      </c>
      <c r="AL201">
        <f t="shared" si="182"/>
        <v>8.475556016905518E-2</v>
      </c>
      <c r="AM201" t="str">
        <f t="shared" si="163"/>
        <v>1-0,00534057360652365i</v>
      </c>
      <c r="AN201">
        <f t="shared" si="183"/>
        <v>1.0000142607615388</v>
      </c>
      <c r="AO201">
        <f t="shared" si="184"/>
        <v>-5.3405228332660407E-3</v>
      </c>
      <c r="AP201" s="41" t="str">
        <f t="shared" si="185"/>
        <v>0,55842900918115-5,09236573141288i</v>
      </c>
      <c r="AQ201">
        <f t="shared" si="186"/>
        <v>14.190305536797689</v>
      </c>
      <c r="AR201" s="43">
        <f t="shared" si="187"/>
        <v>-83.741947853858804</v>
      </c>
      <c r="AS201" t="str">
        <f t="shared" si="164"/>
        <v>-0,0000166666666666667</v>
      </c>
      <c r="AT201" t="str">
        <f t="shared" si="165"/>
        <v>6,46538692770892E-06i</v>
      </c>
      <c r="AU201">
        <f t="shared" si="188"/>
        <v>6.4653869277089196E-6</v>
      </c>
      <c r="AV201">
        <f t="shared" si="189"/>
        <v>1.5707963267948966</v>
      </c>
      <c r="AW201" t="str">
        <f t="shared" si="166"/>
        <v>1+0,0202629109871541i</v>
      </c>
      <c r="AX201">
        <f t="shared" si="190"/>
        <v>1.0002052717125987</v>
      </c>
      <c r="AY201">
        <f t="shared" si="191"/>
        <v>2.0260138450577218E-2</v>
      </c>
      <c r="AZ201" t="str">
        <f t="shared" si="167"/>
        <v>1+1,40182502374766i</v>
      </c>
      <c r="BA201">
        <f t="shared" si="192"/>
        <v>1.7219504630520379</v>
      </c>
      <c r="BB201">
        <f t="shared" si="193"/>
        <v>0.95116287106174735</v>
      </c>
      <c r="BC201" s="41" t="str">
        <f t="shared" si="194"/>
        <v>-3,55997022182521+2,64996509412449i</v>
      </c>
      <c r="BD201">
        <f t="shared" si="195"/>
        <v>12.94371486289764</v>
      </c>
      <c r="BE201" s="43">
        <f t="shared" si="196"/>
        <v>143.33679771581538</v>
      </c>
      <c r="BF201" s="41" t="str">
        <f t="shared" si="197"/>
        <v>3,7232549098453+6,14370929086859i</v>
      </c>
      <c r="BG201" s="20">
        <f t="shared" si="198"/>
        <v>17.127152698786322</v>
      </c>
      <c r="BH201" s="43">
        <f t="shared" si="199"/>
        <v>58.782997304964283</v>
      </c>
      <c r="BI201" s="41" t="str">
        <f t="shared" si="203"/>
        <v>11,5066007910716+19,6084877443496i</v>
      </c>
      <c r="BJ201" s="20">
        <f t="shared" si="200"/>
        <v>27.134020399695334</v>
      </c>
      <c r="BK201" s="43">
        <f t="shared" si="204"/>
        <v>59.594849861956625</v>
      </c>
      <c r="BL201">
        <f t="shared" si="201"/>
        <v>17.127152698786322</v>
      </c>
      <c r="BM201" s="43">
        <f t="shared" si="202"/>
        <v>58.782997304964283</v>
      </c>
    </row>
    <row r="202" spans="14:65" x14ac:dyDescent="0.25">
      <c r="N202" s="9">
        <v>84</v>
      </c>
      <c r="O202" s="34">
        <f t="shared" si="205"/>
        <v>691.83097091893671</v>
      </c>
      <c r="P202" s="33" t="str">
        <f t="shared" si="155"/>
        <v>54,631621870174</v>
      </c>
      <c r="Q202" s="4" t="str">
        <f t="shared" si="156"/>
        <v>1+34,6502453199105i</v>
      </c>
      <c r="R202" s="4">
        <f t="shared" si="168"/>
        <v>34.66467222879772</v>
      </c>
      <c r="S202" s="4">
        <f t="shared" si="169"/>
        <v>1.5419445106070331</v>
      </c>
      <c r="T202" s="4" t="str">
        <f t="shared" si="157"/>
        <v>1+0,086938043830593i</v>
      </c>
      <c r="U202" s="4">
        <f t="shared" si="170"/>
        <v>1.0037719977490358</v>
      </c>
      <c r="V202" s="4">
        <f t="shared" si="171"/>
        <v>8.6719999409187204E-2</v>
      </c>
      <c r="W202" t="str">
        <f t="shared" si="158"/>
        <v>1-0,017297796737368i</v>
      </c>
      <c r="X202" s="4">
        <f t="shared" si="172"/>
        <v>1.0001495956965474</v>
      </c>
      <c r="Y202" s="4">
        <f t="shared" si="173"/>
        <v>-1.7296071800696127E-2</v>
      </c>
      <c r="Z202" t="str">
        <f t="shared" si="159"/>
        <v>0,999998085479631+0,00237657736639705i</v>
      </c>
      <c r="AA202" s="4">
        <f t="shared" si="174"/>
        <v>1.0000009095410394</v>
      </c>
      <c r="AB202" s="4">
        <f t="shared" si="175"/>
        <v>2.3765774420029672E-3</v>
      </c>
      <c r="AC202" s="47" t="str">
        <f t="shared" si="176"/>
        <v>0,151497544010673-1,57491291591556i</v>
      </c>
      <c r="AD202" s="20">
        <f t="shared" si="177"/>
        <v>3.9851328078857602</v>
      </c>
      <c r="AE202" s="43">
        <f t="shared" si="178"/>
        <v>-84.505382509072675</v>
      </c>
      <c r="AF202" t="str">
        <f t="shared" si="160"/>
        <v>171,265703090588</v>
      </c>
      <c r="AG202" t="str">
        <f t="shared" si="161"/>
        <v>1+34,3186418680227i</v>
      </c>
      <c r="AH202">
        <f t="shared" si="179"/>
        <v>34.333208117879117</v>
      </c>
      <c r="AI202">
        <f t="shared" si="180"/>
        <v>1.5416658872220066</v>
      </c>
      <c r="AJ202" t="str">
        <f t="shared" si="162"/>
        <v>1+0,086938043830593i</v>
      </c>
      <c r="AK202">
        <f t="shared" si="181"/>
        <v>1.0037719977490358</v>
      </c>
      <c r="AL202">
        <f t="shared" si="182"/>
        <v>8.6719999409187204E-2</v>
      </c>
      <c r="AM202" t="str">
        <f t="shared" si="163"/>
        <v>1-0,0054649715463152i</v>
      </c>
      <c r="AN202">
        <f t="shared" si="183"/>
        <v>1.0000149328455061</v>
      </c>
      <c r="AO202">
        <f t="shared" si="184"/>
        <v>-5.4649171418333581E-3</v>
      </c>
      <c r="AP202" s="41" t="str">
        <f t="shared" si="185"/>
        <v>0,551603935953947-4,97675492327813i</v>
      </c>
      <c r="AQ202">
        <f t="shared" si="186"/>
        <v>13.991951537901304</v>
      </c>
      <c r="AR202" s="43">
        <f t="shared" si="187"/>
        <v>-83.67537547920486</v>
      </c>
      <c r="AS202" t="str">
        <f t="shared" si="164"/>
        <v>-0,0000166666666666667</v>
      </c>
      <c r="AT202" t="str">
        <f t="shared" si="165"/>
        <v>6,61598513550813E-06i</v>
      </c>
      <c r="AU202">
        <f t="shared" si="188"/>
        <v>6.6159851355081298E-6</v>
      </c>
      <c r="AV202">
        <f t="shared" si="189"/>
        <v>1.5707963267948966</v>
      </c>
      <c r="AW202" t="str">
        <f t="shared" si="166"/>
        <v>1+0,0207348948163635i</v>
      </c>
      <c r="AX202">
        <f t="shared" si="190"/>
        <v>1.0002149448308828</v>
      </c>
      <c r="AY202">
        <f t="shared" si="191"/>
        <v>2.073192402437652E-2</v>
      </c>
      <c r="AZ202" t="str">
        <f t="shared" si="167"/>
        <v>1+1,43447772320478i</v>
      </c>
      <c r="BA202">
        <f t="shared" si="192"/>
        <v>1.7486355647677907</v>
      </c>
      <c r="BB202">
        <f t="shared" si="193"/>
        <v>0.96200732385901333</v>
      </c>
      <c r="BC202" s="41" t="str">
        <f t="shared" si="194"/>
        <v>-3,55990136493257+2,59296534610347i</v>
      </c>
      <c r="BD202">
        <f t="shared" si="195"/>
        <v>12.877203931537755</v>
      </c>
      <c r="BE202" s="43">
        <f t="shared" si="196"/>
        <v>143.93110777001374</v>
      </c>
      <c r="BF202" s="41" t="str">
        <f t="shared" si="197"/>
        <v>3,54437830039229+5,9993625206572i</v>
      </c>
      <c r="BG202" s="20">
        <f t="shared" si="198"/>
        <v>16.862336739423519</v>
      </c>
      <c r="BH202" s="43">
        <f t="shared" si="199"/>
        <v>59.425725260941064</v>
      </c>
      <c r="BI202" s="41" t="str">
        <f t="shared" si="203"/>
        <v>10,9408974476054+19,1470465350156i</v>
      </c>
      <c r="BJ202" s="20">
        <f t="shared" si="200"/>
        <v>26.869155469439075</v>
      </c>
      <c r="BK202" s="43">
        <f t="shared" si="204"/>
        <v>60.255732290808901</v>
      </c>
      <c r="BL202">
        <f t="shared" si="201"/>
        <v>16.862336739423519</v>
      </c>
      <c r="BM202" s="43">
        <f t="shared" si="202"/>
        <v>59.425725260941064</v>
      </c>
    </row>
    <row r="203" spans="14:65" x14ac:dyDescent="0.25">
      <c r="N203" s="9">
        <v>85</v>
      </c>
      <c r="O203" s="34">
        <f t="shared" si="205"/>
        <v>707.94578438413873</v>
      </c>
      <c r="P203" s="33" t="str">
        <f t="shared" si="155"/>
        <v>54,631621870174</v>
      </c>
      <c r="Q203" s="4" t="str">
        <f t="shared" si="156"/>
        <v>1+35,4573532166735i</v>
      </c>
      <c r="R203" s="4">
        <f t="shared" si="168"/>
        <v>35.471451861066342</v>
      </c>
      <c r="S203" s="4">
        <f t="shared" si="169"/>
        <v>1.5426009060614707</v>
      </c>
      <c r="T203" s="4" t="str">
        <f t="shared" si="157"/>
        <v>1+0,088963091014443i</v>
      </c>
      <c r="U203" s="4">
        <f t="shared" si="170"/>
        <v>1.0039494168347547</v>
      </c>
      <c r="V203" s="4">
        <f t="shared" si="171"/>
        <v>8.8729501818774731E-2</v>
      </c>
      <c r="W203" t="str">
        <f t="shared" si="158"/>
        <v>1-0,0177007141832456i</v>
      </c>
      <c r="X203" s="4">
        <f t="shared" si="172"/>
        <v>1.0001566453724122</v>
      </c>
      <c r="Y203" s="4">
        <f t="shared" si="173"/>
        <v>-1.7698865895935657E-2</v>
      </c>
      <c r="Z203" t="str">
        <f t="shared" si="159"/>
        <v>0,999997995251065+0,00243193496464716i</v>
      </c>
      <c r="AA203" s="4">
        <f t="shared" si="174"/>
        <v>1.0000009524064573</v>
      </c>
      <c r="AB203" s="4">
        <f t="shared" si="175"/>
        <v>2.4319350456602695E-3</v>
      </c>
      <c r="AC203" s="47" t="str">
        <f t="shared" si="176"/>
        <v>0,149456629876925-1,53924202690796i</v>
      </c>
      <c r="AD203" s="20">
        <f t="shared" si="177"/>
        <v>3.7868914429306382</v>
      </c>
      <c r="AE203" s="43">
        <f t="shared" si="178"/>
        <v>-84.454105350036315</v>
      </c>
      <c r="AF203" t="str">
        <f t="shared" si="160"/>
        <v>171,265703090588</v>
      </c>
      <c r="AG203" t="str">
        <f t="shared" si="161"/>
        <v>1+35,1180257281405i</v>
      </c>
      <c r="AH203">
        <f t="shared" si="179"/>
        <v>35.132260545577452</v>
      </c>
      <c r="AI203">
        <f t="shared" si="180"/>
        <v>1.5423286146215385</v>
      </c>
      <c r="AJ203" t="str">
        <f t="shared" si="162"/>
        <v>1+0,088963091014443i</v>
      </c>
      <c r="AK203">
        <f t="shared" si="181"/>
        <v>1.0039494168347547</v>
      </c>
      <c r="AL203">
        <f t="shared" si="182"/>
        <v>8.8729501818774731E-2</v>
      </c>
      <c r="AM203" t="str">
        <f t="shared" si="163"/>
        <v>1-0,00559226708635807i</v>
      </c>
      <c r="AN203">
        <f t="shared" si="183"/>
        <v>1.0000156366033308</v>
      </c>
      <c r="AO203">
        <f t="shared" si="184"/>
        <v>-5.5922087909547153E-3</v>
      </c>
      <c r="AP203" s="41" t="str">
        <f t="shared" si="185"/>
        <v>0,545085532146252-4,86376496466414i</v>
      </c>
      <c r="AQ203">
        <f t="shared" si="186"/>
        <v>13.793658590731779</v>
      </c>
      <c r="AR203" s="43">
        <f t="shared" si="187"/>
        <v>-83.605504229436889</v>
      </c>
      <c r="AS203" t="str">
        <f t="shared" si="164"/>
        <v>-0,0000166666666666667</v>
      </c>
      <c r="AT203" t="str">
        <f t="shared" si="165"/>
        <v>6,77009122619911E-06i</v>
      </c>
      <c r="AU203">
        <f t="shared" si="188"/>
        <v>6.7700912261991103E-6</v>
      </c>
      <c r="AV203">
        <f t="shared" si="189"/>
        <v>1.5707963267948966</v>
      </c>
      <c r="AW203" t="str">
        <f t="shared" si="166"/>
        <v>1+0,0212178725612633i</v>
      </c>
      <c r="AX203">
        <f t="shared" si="190"/>
        <v>1.0002250737289213</v>
      </c>
      <c r="AY203">
        <f t="shared" si="191"/>
        <v>2.1214689338983087E-2</v>
      </c>
      <c r="AZ203" t="str">
        <f t="shared" si="167"/>
        <v>1+1,46789100173831i</v>
      </c>
      <c r="BA203">
        <f t="shared" si="192"/>
        <v>1.7761486404533546</v>
      </c>
      <c r="BB203">
        <f t="shared" si="193"/>
        <v>0.97276575275831478</v>
      </c>
      <c r="BC203" s="41" t="str">
        <f t="shared" si="194"/>
        <v>-3,55982926576946+2,53734028808116i</v>
      </c>
      <c r="BD203">
        <f t="shared" si="195"/>
        <v>12.812715985713067</v>
      </c>
      <c r="BE203" s="43">
        <f t="shared" si="196"/>
        <v>144.51985992511297</v>
      </c>
      <c r="BF203" s="41" t="str">
        <f t="shared" si="197"/>
        <v>3,37354072298212+5,85866114279682i</v>
      </c>
      <c r="BG203" s="20">
        <f t="shared" si="198"/>
        <v>16.599607428643711</v>
      </c>
      <c r="BH203" s="43">
        <f t="shared" si="199"/>
        <v>60.065754575076689</v>
      </c>
      <c r="BI203" s="41" t="str">
        <f t="shared" si="203"/>
        <v>10,4006153669182+18,6972403442004i</v>
      </c>
      <c r="BJ203" s="20">
        <f t="shared" si="200"/>
        <v>26.606374576444836</v>
      </c>
      <c r="BK203" s="43">
        <f t="shared" si="204"/>
        <v>60.914355695676107</v>
      </c>
      <c r="BL203">
        <f t="shared" si="201"/>
        <v>16.599607428643711</v>
      </c>
      <c r="BM203" s="43">
        <f t="shared" si="202"/>
        <v>60.065754575076689</v>
      </c>
    </row>
    <row r="204" spans="14:65" x14ac:dyDescent="0.25">
      <c r="N204" s="9">
        <v>86</v>
      </c>
      <c r="O204" s="34">
        <f t="shared" si="205"/>
        <v>724.43596007499025</v>
      </c>
      <c r="P204" s="33" t="str">
        <f t="shared" si="155"/>
        <v>54,631621870174</v>
      </c>
      <c r="Q204" s="4" t="str">
        <f t="shared" si="156"/>
        <v>1+36,2832610714454i</v>
      </c>
      <c r="R204" s="4">
        <f t="shared" si="168"/>
        <v>36.297038914747098</v>
      </c>
      <c r="S204" s="4">
        <f t="shared" si="169"/>
        <v>1.5432423836154323</v>
      </c>
      <c r="T204" s="4" t="str">
        <f t="shared" si="157"/>
        <v>1+0,0910353076067144i</v>
      </c>
      <c r="U204" s="4">
        <f t="shared" si="170"/>
        <v>1.0041351638255924</v>
      </c>
      <c r="V204" s="4">
        <f t="shared" si="171"/>
        <v>9.078506791003868E-2</v>
      </c>
      <c r="W204" t="str">
        <f t="shared" si="158"/>
        <v>1-0,0181130167820797i</v>
      </c>
      <c r="X204" s="4">
        <f t="shared" si="172"/>
        <v>1.0001640272360068</v>
      </c>
      <c r="Y204" s="4">
        <f t="shared" si="173"/>
        <v>-1.8111036324087067E-2</v>
      </c>
      <c r="Z204" t="str">
        <f t="shared" si="159"/>
        <v>0,999997900770159+0,00248858200700598i</v>
      </c>
      <c r="AA204" s="4">
        <f t="shared" si="174"/>
        <v>1.000000997292068</v>
      </c>
      <c r="AB204" s="4">
        <f t="shared" si="175"/>
        <v>2.4885820938129861E-3</v>
      </c>
      <c r="AC204" s="47" t="str">
        <f t="shared" si="176"/>
        <v>0,14750740308183-1,5043820864119i</v>
      </c>
      <c r="AD204" s="20">
        <f t="shared" si="177"/>
        <v>3.5887173957026026</v>
      </c>
      <c r="AE204" s="43">
        <f t="shared" si="178"/>
        <v>-84.399945307745256</v>
      </c>
      <c r="AF204" t="str">
        <f t="shared" si="160"/>
        <v>171,265703090588</v>
      </c>
      <c r="AG204" t="str">
        <f t="shared" si="161"/>
        <v>1+35,9360296303414i</v>
      </c>
      <c r="AH204">
        <f t="shared" si="179"/>
        <v>35.94994055061531</v>
      </c>
      <c r="AI204">
        <f t="shared" si="180"/>
        <v>1.5429762806745273</v>
      </c>
      <c r="AJ204" t="str">
        <f t="shared" si="162"/>
        <v>1+0,0910353076067144i</v>
      </c>
      <c r="AK204">
        <f t="shared" si="181"/>
        <v>1.0041351638255924</v>
      </c>
      <c r="AL204">
        <f t="shared" si="182"/>
        <v>9.078506791003868E-2</v>
      </c>
      <c r="AM204" t="str">
        <f t="shared" si="163"/>
        <v>1-0,00572252772043252i</v>
      </c>
      <c r="AN204">
        <f t="shared" si="183"/>
        <v>1.0000163735277094</v>
      </c>
      <c r="AO204">
        <f t="shared" si="184"/>
        <v>-5.722465255837657E-3</v>
      </c>
      <c r="AP204" s="41" t="str">
        <f t="shared" si="185"/>
        <v>0,538860040135696-4,75333713908674i</v>
      </c>
      <c r="AQ204">
        <f t="shared" si="186"/>
        <v>13.595430240640578</v>
      </c>
      <c r="AR204" s="43">
        <f t="shared" si="187"/>
        <v>-83.532300644959534</v>
      </c>
      <c r="AS204" t="str">
        <f t="shared" si="164"/>
        <v>-0,0000166666666666667</v>
      </c>
      <c r="AT204" t="str">
        <f t="shared" si="165"/>
        <v>6,92778690887096E-06i</v>
      </c>
      <c r="AU204">
        <f t="shared" si="188"/>
        <v>6.9277869088709603E-6</v>
      </c>
      <c r="AV204">
        <f t="shared" si="189"/>
        <v>1.5707963267948966</v>
      </c>
      <c r="AW204" t="str">
        <f t="shared" si="166"/>
        <v>1+0,0217121003030469i</v>
      </c>
      <c r="AX204">
        <f t="shared" si="190"/>
        <v>1.0002356798772825</v>
      </c>
      <c r="AY204">
        <f t="shared" si="191"/>
        <v>2.1708689462325556E-2</v>
      </c>
      <c r="AZ204" t="str">
        <f t="shared" si="167"/>
        <v>1+1,50208257551079i</v>
      </c>
      <c r="BA204">
        <f t="shared" si="192"/>
        <v>1.8045088150666175</v>
      </c>
      <c r="BB204">
        <f t="shared" si="193"/>
        <v>0.98343390029370836</v>
      </c>
      <c r="BC204" s="41" t="str">
        <f t="shared" si="194"/>
        <v>-3,55975377180756+2,48306041730134i</v>
      </c>
      <c r="BD204">
        <f t="shared" si="195"/>
        <v>12.750217887043425</v>
      </c>
      <c r="BE204" s="43">
        <f t="shared" si="196"/>
        <v>145.1027956319675</v>
      </c>
      <c r="BF204" s="41" t="str">
        <f t="shared" si="197"/>
        <v>3,21038157677651+5,72149960019589i</v>
      </c>
      <c r="BG204" s="20">
        <f t="shared" si="198"/>
        <v>16.338935282746021</v>
      </c>
      <c r="BH204" s="43">
        <f t="shared" si="199"/>
        <v>60.702850324222247</v>
      </c>
      <c r="BI204" s="41" t="str">
        <f t="shared" si="203"/>
        <v>9,88461423980526+18,2587318456633i</v>
      </c>
      <c r="BJ204" s="20">
        <f t="shared" si="200"/>
        <v>26.34564812768399</v>
      </c>
      <c r="BK204" s="43">
        <f t="shared" si="204"/>
        <v>61.570494987007926</v>
      </c>
      <c r="BL204">
        <f t="shared" si="201"/>
        <v>16.338935282746021</v>
      </c>
      <c r="BM204" s="43">
        <f t="shared" si="202"/>
        <v>60.702850324222247</v>
      </c>
    </row>
    <row r="205" spans="14:65" x14ac:dyDescent="0.25">
      <c r="N205" s="9">
        <v>87</v>
      </c>
      <c r="O205" s="34">
        <f t="shared" si="205"/>
        <v>741.31024130091828</v>
      </c>
      <c r="P205" s="33" t="str">
        <f t="shared" si="155"/>
        <v>54,631621870174</v>
      </c>
      <c r="Q205" s="4" t="str">
        <f t="shared" si="156"/>
        <v>1+37,1284067915032i</v>
      </c>
      <c r="R205" s="4">
        <f t="shared" si="168"/>
        <v>37.141871127816664</v>
      </c>
      <c r="S205" s="4">
        <f t="shared" si="169"/>
        <v>1.5438692812758885</v>
      </c>
      <c r="T205" s="4" t="str">
        <f t="shared" si="157"/>
        <v>1+0,0931557923240736i</v>
      </c>
      <c r="U205" s="4">
        <f t="shared" si="170"/>
        <v>1.0043296279825293</v>
      </c>
      <c r="V205" s="4">
        <f t="shared" si="171"/>
        <v>9.2887718048958401E-2</v>
      </c>
      <c r="W205" t="str">
        <f t="shared" si="158"/>
        <v>1-0,0185349231421659i</v>
      </c>
      <c r="X205" s="4">
        <f t="shared" si="172"/>
        <v>1.0001717569377202</v>
      </c>
      <c r="Y205" s="4">
        <f t="shared" si="173"/>
        <v>-1.8532801062875148E-2</v>
      </c>
      <c r="Z205" t="str">
        <f t="shared" si="159"/>
        <v>0,999997801836505+0,00254654852848519i</v>
      </c>
      <c r="AA205" s="4">
        <f t="shared" si="174"/>
        <v>1.0000010442930798</v>
      </c>
      <c r="AB205" s="4">
        <f t="shared" si="175"/>
        <v>2.5465486215004562E-3</v>
      </c>
      <c r="AC205" s="47" t="str">
        <f t="shared" si="176"/>
        <v>0,14564574832254-1,47031495630891i</v>
      </c>
      <c r="AD205" s="20">
        <f t="shared" si="177"/>
        <v>3.3906144566091188</v>
      </c>
      <c r="AE205" s="43">
        <f t="shared" si="178"/>
        <v>-84.342877495992838</v>
      </c>
      <c r="AF205" t="str">
        <f t="shared" si="160"/>
        <v>171,265703090588</v>
      </c>
      <c r="AG205" t="str">
        <f t="shared" si="161"/>
        <v>1+36,7730872911219i</v>
      </c>
      <c r="AH205">
        <f t="shared" si="179"/>
        <v>36.786681678570446</v>
      </c>
      <c r="AI205">
        <f t="shared" si="180"/>
        <v>1.5436092266074248</v>
      </c>
      <c r="AJ205" t="str">
        <f t="shared" si="162"/>
        <v>1+0,0931557923240736i</v>
      </c>
      <c r="AK205">
        <f t="shared" si="181"/>
        <v>1.0043296279825293</v>
      </c>
      <c r="AL205">
        <f t="shared" si="182"/>
        <v>9.2887718048958401E-2</v>
      </c>
      <c r="AM205" t="str">
        <f t="shared" si="163"/>
        <v>1-0,00585582251445096i</v>
      </c>
      <c r="AN205">
        <f t="shared" si="183"/>
        <v>1.0000171451816817</v>
      </c>
      <c r="AO205">
        <f t="shared" si="184"/>
        <v>-5.8557555824936477E-3</v>
      </c>
      <c r="AP205" s="41" t="str">
        <f t="shared" si="185"/>
        <v>0,532914317562069-4,64541400916652i</v>
      </c>
      <c r="AQ205">
        <f t="shared" si="186"/>
        <v>13.397270162951088</v>
      </c>
      <c r="AR205" s="43">
        <f t="shared" si="187"/>
        <v>-83.455729769989134</v>
      </c>
      <c r="AS205" t="str">
        <f t="shared" si="164"/>
        <v>-0,0000166666666666667</v>
      </c>
      <c r="AT205" t="str">
        <f t="shared" si="165"/>
        <v>7,08915579586201E-06i</v>
      </c>
      <c r="AU205">
        <f t="shared" si="188"/>
        <v>7.0891557958620098E-6</v>
      </c>
      <c r="AV205">
        <f t="shared" si="189"/>
        <v>1.5707963267948966</v>
      </c>
      <c r="AW205" t="str">
        <f t="shared" si="166"/>
        <v>1+0,0222178400878047i</v>
      </c>
      <c r="AX205">
        <f t="shared" si="190"/>
        <v>1.0002467857574786</v>
      </c>
      <c r="AY205">
        <f t="shared" si="191"/>
        <v>2.2214185354824122E-2</v>
      </c>
      <c r="AZ205" t="str">
        <f t="shared" si="167"/>
        <v>1+1,53707057334721i</v>
      </c>
      <c r="BA205">
        <f t="shared" si="192"/>
        <v>1.8337355173115673</v>
      </c>
      <c r="BB205">
        <f t="shared" si="193"/>
        <v>0.99400770972541563</v>
      </c>
      <c r="BC205" s="41" t="str">
        <f t="shared" si="194"/>
        <v>-3,55967472335669+2,43009694355739i</v>
      </c>
      <c r="BD205">
        <f t="shared" si="195"/>
        <v>12.689675223949834</v>
      </c>
      <c r="BE205" s="43">
        <f t="shared" si="196"/>
        <v>145.67966750457853</v>
      </c>
      <c r="BF205" s="41" t="str">
        <f t="shared" si="197"/>
        <v>3,05455639252488+5,58777627318686i</v>
      </c>
      <c r="BG205" s="20">
        <f t="shared" si="198"/>
        <v>16.080289680558955</v>
      </c>
      <c r="BH205" s="43">
        <f t="shared" si="199"/>
        <v>61.336790008585758</v>
      </c>
      <c r="BI205" s="41" t="str">
        <f t="shared" si="203"/>
        <v>9,39180475929366+17,8311962822427i</v>
      </c>
      <c r="BJ205" s="20">
        <f t="shared" si="200"/>
        <v>26.086945386900929</v>
      </c>
      <c r="BK205" s="43">
        <f t="shared" si="204"/>
        <v>62.223937734589462</v>
      </c>
      <c r="BL205">
        <f t="shared" si="201"/>
        <v>16.080289680558955</v>
      </c>
      <c r="BM205" s="43">
        <f t="shared" si="202"/>
        <v>61.336790008585758</v>
      </c>
    </row>
    <row r="206" spans="14:65" x14ac:dyDescent="0.25">
      <c r="N206" s="9">
        <v>88</v>
      </c>
      <c r="O206" s="34">
        <f t="shared" si="205"/>
        <v>758.57757502918378</v>
      </c>
      <c r="P206" s="33" t="str">
        <f t="shared" si="155"/>
        <v>54,631621870174</v>
      </c>
      <c r="Q206" s="4" t="str">
        <f t="shared" si="156"/>
        <v>1+37,9932384842943i</v>
      </c>
      <c r="R206" s="4">
        <f t="shared" si="168"/>
        <v>38.006396442236692</v>
      </c>
      <c r="S206" s="4">
        <f t="shared" si="169"/>
        <v>1.5444819294601788</v>
      </c>
      <c r="T206" s="4" t="str">
        <f t="shared" si="157"/>
        <v>1+0,0953256694755858i</v>
      </c>
      <c r="U206" s="4">
        <f t="shared" si="170"/>
        <v>1.0045332166040946</v>
      </c>
      <c r="V206" s="4">
        <f t="shared" si="171"/>
        <v>9.503849267854507E-2</v>
      </c>
      <c r="W206" t="str">
        <f t="shared" si="158"/>
        <v>1-0,0189666569638407i</v>
      </c>
      <c r="X206" s="4">
        <f t="shared" si="172"/>
        <v>1.000179850865025</v>
      </c>
      <c r="Y206" s="4">
        <f t="shared" si="173"/>
        <v>-1.8964383136995999E-2</v>
      </c>
      <c r="Z206" t="str">
        <f t="shared" si="159"/>
        <v>0,999997698240251+0,00260586526370176i</v>
      </c>
      <c r="AA206" s="4">
        <f t="shared" si="174"/>
        <v>1.0000010935091883</v>
      </c>
      <c r="AB206" s="4">
        <f t="shared" si="175"/>
        <v>2.6058653633692832E-3</v>
      </c>
      <c r="AC206" s="47" t="str">
        <f t="shared" si="176"/>
        <v>0,143867734355283-1,43702289586225i</v>
      </c>
      <c r="AD206" s="20">
        <f t="shared" si="177"/>
        <v>3.1925865591428688</v>
      </c>
      <c r="AE206" s="43">
        <f t="shared" si="178"/>
        <v>-84.282875772644061</v>
      </c>
      <c r="AF206" t="str">
        <f t="shared" si="160"/>
        <v>171,265703090588</v>
      </c>
      <c r="AG206" t="str">
        <f t="shared" si="161"/>
        <v>1+37,6296425295335i</v>
      </c>
      <c r="AH206">
        <f t="shared" si="179"/>
        <v>37.642927581425923</v>
      </c>
      <c r="AI206">
        <f t="shared" si="180"/>
        <v>1.5442277859868121</v>
      </c>
      <c r="AJ206" t="str">
        <f t="shared" si="162"/>
        <v>1+0,0953256694755858i</v>
      </c>
      <c r="AK206">
        <f t="shared" si="181"/>
        <v>1.0045332166040946</v>
      </c>
      <c r="AL206">
        <f t="shared" si="182"/>
        <v>9.503849267854507E-2</v>
      </c>
      <c r="AM206" t="str">
        <f t="shared" si="163"/>
        <v>1-0,00599222214307753i</v>
      </c>
      <c r="AN206">
        <f t="shared" si="183"/>
        <v>1.0000179532019473</v>
      </c>
      <c r="AO206">
        <f t="shared" si="184"/>
        <v>-5.9921504242626718E-3</v>
      </c>
      <c r="AP206" s="41" t="str">
        <f t="shared" si="185"/>
        <v>0,527235809981102-4,53993939144991i</v>
      </c>
      <c r="AQ206">
        <f t="shared" si="186"/>
        <v>13.199182170071852</v>
      </c>
      <c r="AR206" s="43">
        <f t="shared" si="187"/>
        <v>-83.375755151627843</v>
      </c>
      <c r="AS206" t="str">
        <f t="shared" si="164"/>
        <v>-0,0000166666666666667</v>
      </c>
      <c r="AT206" t="str">
        <f t="shared" si="165"/>
        <v>7,25428344709208E-06i</v>
      </c>
      <c r="AU206">
        <f t="shared" si="188"/>
        <v>7.25428344709208E-6</v>
      </c>
      <c r="AV206">
        <f t="shared" si="189"/>
        <v>1.5707963267948966</v>
      </c>
      <c r="AW206" t="str">
        <f t="shared" si="166"/>
        <v>1+0,0227353600654649i</v>
      </c>
      <c r="AX206">
        <f t="shared" si="190"/>
        <v>1.0002584149095204</v>
      </c>
      <c r="AY206">
        <f t="shared" si="191"/>
        <v>2.2731444003160618E-2</v>
      </c>
      <c r="AZ206" t="str">
        <f t="shared" si="167"/>
        <v>1+1,57287354634717i</v>
      </c>
      <c r="BA206">
        <f t="shared" si="192"/>
        <v>1.8638484897648528</v>
      </c>
      <c r="BB206">
        <f t="shared" si="193"/>
        <v>1.0044833296065132</v>
      </c>
      <c r="BC206" s="41" t="str">
        <f t="shared" si="194"/>
        <v>-3,55959195322987+2,3784217738783i</v>
      </c>
      <c r="BD206">
        <f t="shared" si="195"/>
        <v>12.631052425500311</v>
      </c>
      <c r="BE206" s="43">
        <f t="shared" si="196"/>
        <v>146.25023957408251</v>
      </c>
      <c r="BF206" s="41" t="str">
        <f t="shared" si="197"/>
        <v>2,90573611553995+5,45739328866749i</v>
      </c>
      <c r="BG206" s="20">
        <f t="shared" si="198"/>
        <v>15.823638984643173</v>
      </c>
      <c r="BH206" s="43">
        <f t="shared" si="199"/>
        <v>61.967363801438417</v>
      </c>
      <c r="BI206" s="41" t="str">
        <f t="shared" si="203"/>
        <v>8,9211463540489+17,4143208563838i</v>
      </c>
      <c r="BJ206" s="20">
        <f t="shared" si="200"/>
        <v>25.830234595572151</v>
      </c>
      <c r="BK206" s="43">
        <f t="shared" si="204"/>
        <v>62.874484422454657</v>
      </c>
      <c r="BL206">
        <f t="shared" si="201"/>
        <v>15.823638984643173</v>
      </c>
      <c r="BM206" s="43">
        <f t="shared" si="202"/>
        <v>61.967363801438417</v>
      </c>
    </row>
    <row r="207" spans="14:65" x14ac:dyDescent="0.25">
      <c r="N207" s="9">
        <v>89</v>
      </c>
      <c r="O207" s="34">
        <f t="shared" si="205"/>
        <v>776.24711662869231</v>
      </c>
      <c r="P207" s="33" t="str">
        <f t="shared" si="155"/>
        <v>54,631621870174</v>
      </c>
      <c r="Q207" s="4" t="str">
        <f t="shared" si="156"/>
        <v>1+38,8782146950299i</v>
      </c>
      <c r="R207" s="4">
        <f t="shared" si="168"/>
        <v>38.89107324146299</v>
      </c>
      <c r="S207" s="4">
        <f t="shared" si="169"/>
        <v>1.5450806511618265</v>
      </c>
      <c r="T207" s="4" t="str">
        <f t="shared" si="157"/>
        <v>1+0,0975460895588384i</v>
      </c>
      <c r="U207" s="4">
        <f t="shared" si="170"/>
        <v>1.0047463558471963</v>
      </c>
      <c r="V207" s="4">
        <f t="shared" si="171"/>
        <v>9.7238452531123967E-2</v>
      </c>
      <c r="W207" t="str">
        <f t="shared" si="158"/>
        <v>1-0,0194084471580912i</v>
      </c>
      <c r="X207" s="4">
        <f t="shared" si="172"/>
        <v>1.0001883261771698</v>
      </c>
      <c r="Y207" s="4">
        <f t="shared" si="173"/>
        <v>-1.9406010733506816E-2</v>
      </c>
      <c r="Z207" t="str">
        <f t="shared" si="159"/>
        <v>0,999997589761656+0,00266656366317385i</v>
      </c>
      <c r="AA207" s="4">
        <f t="shared" si="174"/>
        <v>1.0000011450447899</v>
      </c>
      <c r="AB207" s="4">
        <f t="shared" si="175"/>
        <v>2.6665637699693793E-3</v>
      </c>
      <c r="AC207" s="47" t="str">
        <f t="shared" si="176"/>
        <v>0,142169605805299-1,4044885538379i</v>
      </c>
      <c r="AD207" s="20">
        <f t="shared" si="177"/>
        <v>2.9946377874782608</v>
      </c>
      <c r="AE207" s="43">
        <f t="shared" si="178"/>
        <v>-84.219912744518325</v>
      </c>
      <c r="AF207" t="str">
        <f t="shared" si="160"/>
        <v>171,265703090588</v>
      </c>
      <c r="AG207" t="str">
        <f t="shared" si="161"/>
        <v>1+38,5061495025015i</v>
      </c>
      <c r="AH207">
        <f t="shared" si="179"/>
        <v>38.519132252803885</v>
      </c>
      <c r="AI207">
        <f t="shared" si="180"/>
        <v>1.5448322848866112</v>
      </c>
      <c r="AJ207" t="str">
        <f t="shared" si="162"/>
        <v>1+0,0975460895588384i</v>
      </c>
      <c r="AK207">
        <f t="shared" si="181"/>
        <v>1.0047463558471963</v>
      </c>
      <c r="AL207">
        <f t="shared" si="182"/>
        <v>9.7238452531123967E-2</v>
      </c>
      <c r="AM207" t="str">
        <f t="shared" si="163"/>
        <v>1-0,0061317989272008i</v>
      </c>
      <c r="AN207">
        <f t="shared" si="183"/>
        <v>1.0000187993023348</v>
      </c>
      <c r="AO207">
        <f t="shared" si="184"/>
        <v>-6.1317220791841549E-3</v>
      </c>
      <c r="AP207" s="41" t="str">
        <f t="shared" si="185"/>
        <v>0,52181252471881-4,43685833154544i</v>
      </c>
      <c r="AQ207">
        <f t="shared" si="186"/>
        <v>13.001170218837686</v>
      </c>
      <c r="AR207" s="43">
        <f t="shared" si="187"/>
        <v>-83.292338839422271</v>
      </c>
      <c r="AS207" t="str">
        <f t="shared" si="164"/>
        <v>-0,0000166666666666667</v>
      </c>
      <c r="AT207" t="str">
        <f t="shared" si="165"/>
        <v>0,0000074232574154276i</v>
      </c>
      <c r="AU207">
        <f t="shared" si="188"/>
        <v>7.4232574154276E-6</v>
      </c>
      <c r="AV207">
        <f t="shared" si="189"/>
        <v>1.5707963267948966</v>
      </c>
      <c r="AW207" t="str">
        <f t="shared" si="166"/>
        <v>1+0,02326493463197i</v>
      </c>
      <c r="AX207">
        <f t="shared" si="190"/>
        <v>1.0002705919817045</v>
      </c>
      <c r="AY207">
        <f t="shared" si="191"/>
        <v>2.3260738556915329E-2</v>
      </c>
      <c r="AZ207" t="str">
        <f t="shared" si="167"/>
        <v>1+1,60951047772083i</v>
      </c>
      <c r="BA207">
        <f t="shared" si="192"/>
        <v>1.8948677995821066</v>
      </c>
      <c r="BB207">
        <f t="shared" si="193"/>
        <v>1.0148571173736038</v>
      </c>
      <c r="BC207" s="41" t="str">
        <f t="shared" si="194"/>
        <v>-3,55950528639256+2,328007497581i</v>
      </c>
      <c r="BD207">
        <f t="shared" si="195"/>
        <v>12.5743128756835</v>
      </c>
      <c r="BE207" s="43">
        <f t="shared" si="196"/>
        <v>146.81428748665181</v>
      </c>
      <c r="BF207" s="41" t="str">
        <f t="shared" si="197"/>
        <v>2,76360642017302+5,33025634030672i</v>
      </c>
      <c r="BG207" s="20">
        <f t="shared" si="198"/>
        <v>15.568950663161766</v>
      </c>
      <c r="BH207" s="43">
        <f t="shared" si="199"/>
        <v>62.594374742133482</v>
      </c>
      <c r="BI207" s="41" t="str">
        <f t="shared" si="203"/>
        <v>8,47164502130006+17,0078041559879i</v>
      </c>
      <c r="BJ207" s="20">
        <f t="shared" si="200"/>
        <v>25.575483094521175</v>
      </c>
      <c r="BK207" s="43">
        <f t="shared" si="204"/>
        <v>63.521948647229493</v>
      </c>
      <c r="BL207">
        <f t="shared" si="201"/>
        <v>15.568950663161766</v>
      </c>
      <c r="BM207" s="43">
        <f t="shared" si="202"/>
        <v>62.594374742133482</v>
      </c>
    </row>
    <row r="208" spans="14:65" x14ac:dyDescent="0.25">
      <c r="N208" s="9">
        <v>90</v>
      </c>
      <c r="O208" s="34">
        <f t="shared" si="205"/>
        <v>794.32823472428208</v>
      </c>
      <c r="P208" s="33" t="str">
        <f t="shared" si="155"/>
        <v>54,631621870174</v>
      </c>
      <c r="Q208" s="4" t="str">
        <f t="shared" si="156"/>
        <v>1+39,7838046498107i</v>
      </c>
      <c r="R208" s="4">
        <f t="shared" si="168"/>
        <v>39.796370593488795</v>
      </c>
      <c r="S208" s="4">
        <f t="shared" si="169"/>
        <v>1.5456657621130403</v>
      </c>
      <c r="T208" s="4" t="str">
        <f t="shared" si="157"/>
        <v>1+0,0998182298699502i</v>
      </c>
      <c r="U208" s="4">
        <f t="shared" si="170"/>
        <v>1.004969491583884</v>
      </c>
      <c r="V208" s="4">
        <f t="shared" si="171"/>
        <v>9.9488678828319591E-2</v>
      </c>
      <c r="W208" t="str">
        <f t="shared" si="158"/>
        <v>1-0,019860527967926i</v>
      </c>
      <c r="X208" s="4">
        <f t="shared" si="172"/>
        <v>1.0001972008414963</v>
      </c>
      <c r="Y208" s="4">
        <f t="shared" si="173"/>
        <v>-1.9857917319747054E-2</v>
      </c>
      <c r="Z208" t="str">
        <f t="shared" si="159"/>
        <v>0,999997476170622+0,0027286759099963i</v>
      </c>
      <c r="AA208" s="4">
        <f t="shared" si="174"/>
        <v>1.0000011990091988</v>
      </c>
      <c r="AB208" s="4">
        <f t="shared" si="175"/>
        <v>2.7286760244296087E-3</v>
      </c>
      <c r="AC208" s="47" t="str">
        <f t="shared" si="176"/>
        <v>0,140547775336808-1,37269496073095i</v>
      </c>
      <c r="AD208" s="20">
        <f t="shared" si="177"/>
        <v>2.7967723843195911</v>
      </c>
      <c r="AE208" s="43">
        <f t="shared" si="178"/>
        <v>-84.153959772953428</v>
      </c>
      <c r="AF208" t="str">
        <f t="shared" si="160"/>
        <v>171,265703090588</v>
      </c>
      <c r="AG208" t="str">
        <f t="shared" si="161"/>
        <v>1+39,4030729456248i</v>
      </c>
      <c r="AH208">
        <f t="shared" si="179"/>
        <v>39.415760268682234</v>
      </c>
      <c r="AI208">
        <f t="shared" si="180"/>
        <v>1.5454230420519657</v>
      </c>
      <c r="AJ208" t="str">
        <f t="shared" si="162"/>
        <v>1+0,0998182298699502i</v>
      </c>
      <c r="AK208">
        <f t="shared" si="181"/>
        <v>1.004969491583884</v>
      </c>
      <c r="AL208">
        <f t="shared" si="182"/>
        <v>9.9488678828319591E-2</v>
      </c>
      <c r="AM208" t="str">
        <f t="shared" si="163"/>
        <v>1-0,00627462687227923i</v>
      </c>
      <c r="AN208">
        <f t="shared" si="183"/>
        <v>1.0000196852774381</v>
      </c>
      <c r="AO208">
        <f t="shared" si="184"/>
        <v>-6.2745445282333711E-3</v>
      </c>
      <c r="AP208" s="41" t="str">
        <f t="shared" si="185"/>
        <v>0,516633005874952-4,33611707958515i</v>
      </c>
      <c r="AQ208">
        <f t="shared" si="186"/>
        <v>12.80323841808835</v>
      </c>
      <c r="AR208" s="43">
        <f t="shared" si="187"/>
        <v>-83.20544138548577</v>
      </c>
      <c r="AS208" t="str">
        <f t="shared" si="164"/>
        <v>-0,0000166666666666667</v>
      </c>
      <c r="AT208" t="str">
        <f t="shared" si="165"/>
        <v>7,59616729310321E-06i</v>
      </c>
      <c r="AU208">
        <f t="shared" si="188"/>
        <v>7.5961672931032102E-6</v>
      </c>
      <c r="AV208">
        <f t="shared" si="189"/>
        <v>1.5707963267948966</v>
      </c>
      <c r="AW208" t="str">
        <f t="shared" si="166"/>
        <v>1+0,0238068445747647i</v>
      </c>
      <c r="AX208">
        <f t="shared" si="190"/>
        <v>1.0002833427827373</v>
      </c>
      <c r="AY208">
        <f t="shared" si="191"/>
        <v>2.3802348468120158E-2</v>
      </c>
      <c r="AZ208" t="str">
        <f t="shared" si="167"/>
        <v>1+1,64700079285418i</v>
      </c>
      <c r="BA208">
        <f t="shared" si="192"/>
        <v>1.9268138497691722</v>
      </c>
      <c r="BB208">
        <f t="shared" si="193"/>
        <v>1.0251256419818939</v>
      </c>
      <c r="BC208" s="41" t="str">
        <f t="shared" si="194"/>
        <v>-3,55941453959621+2,27882737168061i</v>
      </c>
      <c r="BD208">
        <f t="shared" si="195"/>
        <v>12.519419027418712</v>
      </c>
      <c r="BE208" s="43">
        <f t="shared" si="196"/>
        <v>147.37159864647859</v>
      </c>
      <c r="BF208" s="41" t="str">
        <f t="shared" si="197"/>
        <v>2,62786705443999+5,20627451912253i</v>
      </c>
      <c r="BG208" s="20">
        <f t="shared" si="198"/>
        <v>15.316191411738307</v>
      </c>
      <c r="BH208" s="43">
        <f t="shared" si="199"/>
        <v>63.217638873525196</v>
      </c>
      <c r="BI208" s="41" t="str">
        <f t="shared" si="203"/>
        <v>8,04235125502383+16,6113556133683i</v>
      </c>
      <c r="BJ208" s="20">
        <f t="shared" si="200"/>
        <v>25.322657445507058</v>
      </c>
      <c r="BK208" s="43">
        <f t="shared" si="204"/>
        <v>64.16615726099279</v>
      </c>
      <c r="BL208">
        <f t="shared" si="201"/>
        <v>15.316191411738307</v>
      </c>
      <c r="BM208" s="43">
        <f t="shared" si="202"/>
        <v>63.217638873525196</v>
      </c>
    </row>
    <row r="209" spans="14:65" x14ac:dyDescent="0.25">
      <c r="N209" s="9">
        <v>91</v>
      </c>
      <c r="O209" s="34">
        <f t="shared" si="205"/>
        <v>812.83051616409978</v>
      </c>
      <c r="P209" s="33" t="str">
        <f t="shared" si="155"/>
        <v>54,631621870174</v>
      </c>
      <c r="Q209" s="4" t="str">
        <f t="shared" si="156"/>
        <v>1+40,7104885044178i</v>
      </c>
      <c r="R209" s="4">
        <f t="shared" si="168"/>
        <v>40.722768499554817</v>
      </c>
      <c r="S209" s="4">
        <f t="shared" si="169"/>
        <v>1.5462375709439491</v>
      </c>
      <c r="T209" s="4" t="str">
        <f t="shared" si="157"/>
        <v>1+0,102143295127789i</v>
      </c>
      <c r="U209" s="4">
        <f t="shared" si="170"/>
        <v>1.0052030902954698</v>
      </c>
      <c r="V209" s="4">
        <f t="shared" si="171"/>
        <v>0.10179027346734411</v>
      </c>
      <c r="W209" t="str">
        <f t="shared" si="158"/>
        <v>1-0,0203231390925746i</v>
      </c>
      <c r="X209" s="4">
        <f t="shared" si="172"/>
        <v>1.0002064936714699</v>
      </c>
      <c r="Y209" s="4">
        <f t="shared" si="173"/>
        <v>-2.0320341763841836E-2</v>
      </c>
      <c r="Z209" t="str">
        <f t="shared" si="159"/>
        <v>0,999997357226208+0,00279223493690452i</v>
      </c>
      <c r="AA209" s="4">
        <f t="shared" si="174"/>
        <v>1.0000012555168831</v>
      </c>
      <c r="AB209" s="4">
        <f t="shared" si="175"/>
        <v>2.7922350595218355E-3</v>
      </c>
      <c r="AC209" s="47" t="str">
        <f t="shared" si="176"/>
        <v>0,138998816167487-1,34162552109967i</v>
      </c>
      <c r="AD209" s="20">
        <f t="shared" si="177"/>
        <v>2.5989947590092752</v>
      </c>
      <c r="AE209" s="43">
        <f t="shared" si="178"/>
        <v>-84.084986980137799</v>
      </c>
      <c r="AF209" t="str">
        <f t="shared" si="160"/>
        <v>171,265703090588</v>
      </c>
      <c r="AG209" t="str">
        <f t="shared" si="161"/>
        <v>1+40,3208884195852i</v>
      </c>
      <c r="AH209">
        <f t="shared" si="179"/>
        <v>40.333287033722407</v>
      </c>
      <c r="AI209">
        <f t="shared" si="180"/>
        <v>1.5460003690598336</v>
      </c>
      <c r="AJ209" t="str">
        <f t="shared" si="162"/>
        <v>1+0,102143295127789i</v>
      </c>
      <c r="AK209">
        <f t="shared" si="181"/>
        <v>1.0052030902954698</v>
      </c>
      <c r="AL209">
        <f t="shared" si="182"/>
        <v>0.10179027346734411</v>
      </c>
      <c r="AM209" t="str">
        <f t="shared" si="163"/>
        <v>1-0,00642078170757983i</v>
      </c>
      <c r="AN209">
        <f t="shared" si="183"/>
        <v>1.0000206130064202</v>
      </c>
      <c r="AO209">
        <f t="shared" si="184"/>
        <v>-6.4206934744432476E-3</v>
      </c>
      <c r="AP209" s="41" t="str">
        <f t="shared" si="185"/>
        <v>0,511686310426351-4,23766306601973i</v>
      </c>
      <c r="AQ209">
        <f t="shared" si="186"/>
        <v>12.605391036494547</v>
      </c>
      <c r="AR209" s="43">
        <f t="shared" si="187"/>
        <v>-83.115021845267592</v>
      </c>
      <c r="AS209" t="str">
        <f t="shared" si="164"/>
        <v>-0,0000166666666666667</v>
      </c>
      <c r="AT209" t="str">
        <f t="shared" si="165"/>
        <v>7,77310475922478E-06i</v>
      </c>
      <c r="AU209">
        <f t="shared" si="188"/>
        <v>7.7731047592247798E-6</v>
      </c>
      <c r="AV209">
        <f t="shared" si="189"/>
        <v>1.5707963267948966</v>
      </c>
      <c r="AW209" t="str">
        <f t="shared" si="166"/>
        <v>1+0,0243613772216738i</v>
      </c>
      <c r="AX209">
        <f t="shared" si="190"/>
        <v>1.0002966943363039</v>
      </c>
      <c r="AY209">
        <f t="shared" si="191"/>
        <v>2.4356559633778415E-2</v>
      </c>
      <c r="AZ209" t="str">
        <f t="shared" si="167"/>
        <v>1+1,68536436960853i</v>
      </c>
      <c r="BA209">
        <f t="shared" si="192"/>
        <v>1.9597073910015133</v>
      </c>
      <c r="BB209">
        <f t="shared" si="193"/>
        <v>1.0352856856116572</v>
      </c>
      <c r="BC209" s="41" t="str">
        <f t="shared" si="194"/>
        <v>-3,55931952099424+2,2308553066508i</v>
      </c>
      <c r="BD209">
        <f t="shared" si="195"/>
        <v>12.466332515645252</v>
      </c>
      <c r="BE209" s="43">
        <f t="shared" si="196"/>
        <v>147.9219723053817</v>
      </c>
      <c r="BF209" s="41" t="str">
        <f t="shared" si="197"/>
        <v>2,49823121350332+5,08536015377954i</v>
      </c>
      <c r="BG209" s="20">
        <f t="shared" si="198"/>
        <v>15.06532727465453</v>
      </c>
      <c r="BH209" s="43">
        <f t="shared" si="199"/>
        <v>63.836985325243866</v>
      </c>
      <c r="BI209" s="41" t="str">
        <f t="shared" si="203"/>
        <v>7,63235806530218+16,2246949952355i</v>
      </c>
      <c r="BJ209" s="20">
        <f t="shared" si="200"/>
        <v>25.071723552139787</v>
      </c>
      <c r="BK209" s="43">
        <f t="shared" si="204"/>
        <v>64.806950460114081</v>
      </c>
      <c r="BL209">
        <f t="shared" si="201"/>
        <v>15.06532727465453</v>
      </c>
      <c r="BM209" s="43">
        <f t="shared" si="202"/>
        <v>63.836985325243866</v>
      </c>
    </row>
    <row r="210" spans="14:65" x14ac:dyDescent="0.25">
      <c r="N210" s="9">
        <v>92</v>
      </c>
      <c r="O210" s="34">
        <f t="shared" si="205"/>
        <v>831.7637711026714</v>
      </c>
      <c r="P210" s="33" t="str">
        <f t="shared" si="155"/>
        <v>54,631621870174</v>
      </c>
      <c r="Q210" s="4" t="str">
        <f t="shared" si="156"/>
        <v>1+41,6587575988969i</v>
      </c>
      <c r="R210" s="4">
        <f t="shared" si="168"/>
        <v>41.670758148654436</v>
      </c>
      <c r="S210" s="4">
        <f t="shared" si="169"/>
        <v>1.5467963793386135</v>
      </c>
      <c r="T210" s="4" t="str">
        <f t="shared" si="157"/>
        <v>1+0,104522518112732i</v>
      </c>
      <c r="U210" s="4">
        <f t="shared" si="170"/>
        <v>1.0054476400054984</v>
      </c>
      <c r="V210" s="4">
        <f t="shared" si="171"/>
        <v>0.10414435919209586</v>
      </c>
      <c r="W210" t="str">
        <f t="shared" si="158"/>
        <v>1-0,0207965258145786i</v>
      </c>
      <c r="X210" s="4">
        <f t="shared" si="172"/>
        <v>1.0002162243664898</v>
      </c>
      <c r="Y210" s="4">
        <f t="shared" si="173"/>
        <v>-2.0793528457833325E-2</v>
      </c>
      <c r="Z210" t="str">
        <f t="shared" si="159"/>
        <v>0,999997232676116+0,00285727444373589i</v>
      </c>
      <c r="AA210" s="4">
        <f t="shared" si="174"/>
        <v>1.000001314687704</v>
      </c>
      <c r="AB210" s="4">
        <f t="shared" si="175"/>
        <v>2.8572745751225051E-3</v>
      </c>
      <c r="AC210" s="47" t="str">
        <f t="shared" si="176"/>
        <v>0,137519454912674-1,31126400600963i</v>
      </c>
      <c r="AD210" s="20">
        <f t="shared" si="177"/>
        <v>2.4013094959074985</v>
      </c>
      <c r="AE210" s="43">
        <f t="shared" si="178"/>
        <v>-84.01296325630129</v>
      </c>
      <c r="AF210" t="str">
        <f t="shared" si="160"/>
        <v>171,265703090588</v>
      </c>
      <c r="AG210" t="str">
        <f t="shared" si="161"/>
        <v>1+41,2600825622958i</v>
      </c>
      <c r="AH210">
        <f t="shared" si="179"/>
        <v>41.272199033337998</v>
      </c>
      <c r="AI210">
        <f t="shared" si="180"/>
        <v>1.54656457047634</v>
      </c>
      <c r="AJ210" t="str">
        <f t="shared" si="162"/>
        <v>1+0,104522518112732i</v>
      </c>
      <c r="AK210">
        <f t="shared" si="181"/>
        <v>1.0054476400054984</v>
      </c>
      <c r="AL210">
        <f t="shared" si="182"/>
        <v>0.10414435919209586</v>
      </c>
      <c r="AM210" t="str">
        <f t="shared" si="163"/>
        <v>1-0,0065703409263309i</v>
      </c>
      <c r="AN210">
        <f t="shared" si="183"/>
        <v>1.0000215844569997</v>
      </c>
      <c r="AO210">
        <f t="shared" si="184"/>
        <v>-6.5702463829319015E-3</v>
      </c>
      <c r="AP210" s="41" t="str">
        <f t="shared" si="185"/>
        <v>0,50696198538274-4,14144487775444i</v>
      </c>
      <c r="AQ210">
        <f t="shared" si="186"/>
        <v>12.407632510640232</v>
      </c>
      <c r="AR210" s="43">
        <f t="shared" si="187"/>
        <v>-83.021037779058787</v>
      </c>
      <c r="AS210" t="str">
        <f t="shared" si="164"/>
        <v>-0,0000166666666666667</v>
      </c>
      <c r="AT210" t="str">
        <f t="shared" si="165"/>
        <v>7,95416362837889E-06i</v>
      </c>
      <c r="AU210">
        <f t="shared" si="188"/>
        <v>7.9541636283788895E-6</v>
      </c>
      <c r="AV210">
        <f t="shared" si="189"/>
        <v>1.5707963267948966</v>
      </c>
      <c r="AW210" t="str">
        <f t="shared" si="166"/>
        <v>1+0,0249288265932468i</v>
      </c>
      <c r="AX210">
        <f t="shared" si="190"/>
        <v>1.0003106749381996</v>
      </c>
      <c r="AY210">
        <f t="shared" si="191"/>
        <v>2.4923664541397973E-2</v>
      </c>
      <c r="AZ210" t="str">
        <f t="shared" si="167"/>
        <v>1+1,72462154886007i</v>
      </c>
      <c r="BA210">
        <f t="shared" si="192"/>
        <v>1.9935695339748014</v>
      </c>
      <c r="BB210">
        <f t="shared" si="193"/>
        <v>1.0453342444793869</v>
      </c>
      <c r="BC210" s="41" t="str">
        <f t="shared" si="194"/>
        <v>-3,55922002974066+2,18406585252634i</v>
      </c>
      <c r="BD210">
        <f t="shared" si="195"/>
        <v>12.415014268879279</v>
      </c>
      <c r="BE210" s="43">
        <f t="shared" si="196"/>
        <v>148.46521960094356</v>
      </c>
      <c r="BF210" s="41" t="str">
        <f t="shared" si="197"/>
        <v>2,37442494076832+4,96742866000026i</v>
      </c>
      <c r="BG210" s="20">
        <f t="shared" si="198"/>
        <v>14.816323764786778</v>
      </c>
      <c r="BH210" s="43">
        <f t="shared" si="199"/>
        <v>64.452256344642265</v>
      </c>
      <c r="BI210" s="41" t="str">
        <f t="shared" si="203"/>
        <v>7,24079908493225+15,8475519217739i</v>
      </c>
      <c r="BJ210" s="20">
        <f t="shared" si="200"/>
        <v>24.822646779519527</v>
      </c>
      <c r="BK210" s="43">
        <f t="shared" si="204"/>
        <v>65.444181821884825</v>
      </c>
      <c r="BL210">
        <f t="shared" si="201"/>
        <v>14.816323764786778</v>
      </c>
      <c r="BM210" s="43">
        <f t="shared" si="202"/>
        <v>64.452256344642265</v>
      </c>
    </row>
    <row r="211" spans="14:65" x14ac:dyDescent="0.25">
      <c r="N211" s="9">
        <v>93</v>
      </c>
      <c r="O211" s="34">
        <f t="shared" si="205"/>
        <v>851.13803820237763</v>
      </c>
      <c r="P211" s="33" t="str">
        <f t="shared" ref="P211:P274" si="206">COMPLEX(Adc,0)</f>
        <v>54,631621870174</v>
      </c>
      <c r="Q211" s="4" t="str">
        <f t="shared" ref="Q211:Q274" si="207">IMSUM(COMPLEX(1,0),IMDIV(COMPLEX(0,2*PI()*O211),COMPLEX(wp_lf,0)))</f>
        <v>1+42,6291147180739i</v>
      </c>
      <c r="R211" s="4">
        <f t="shared" si="168"/>
        <v>42.640842177971869</v>
      </c>
      <c r="S211" s="4">
        <f t="shared" si="169"/>
        <v>1.547342482187863</v>
      </c>
      <c r="T211" s="4" t="str">
        <f t="shared" ref="T211:T274" si="208">IMSUM(COMPLEX(1,0),IMDIV(COMPLEX(0,2*PI()*O211),COMPLEX(wz_esr,0)))</f>
        <v>1+0,106957160320297i</v>
      </c>
      <c r="U211" s="4">
        <f t="shared" si="170"/>
        <v>1.0057036512530826</v>
      </c>
      <c r="V211" s="4">
        <f t="shared" si="171"/>
        <v>0.10655207974745674</v>
      </c>
      <c r="W211" t="str">
        <f t="shared" ref="W211:W274" si="209">IMSUB(COMPLEX(1,0),IMDIV(COMPLEX(0,2*PI()*O211),COMPLEX(wz_rhp,0)))</f>
        <v>1-0,0212809391298441i</v>
      </c>
      <c r="X211" s="4">
        <f t="shared" si="172"/>
        <v>1.0002264135535754</v>
      </c>
      <c r="Y211" s="4">
        <f t="shared" si="173"/>
        <v>-2.1277727443490751E-2</v>
      </c>
      <c r="Z211" t="str">
        <f t="shared" ref="Z211:Z274" si="210">IMSUM(COMPLEX(1,0),IMDIV(COMPLEX(0,2*PI()*O211),COMPLEX(Q*(wsl/2),0)),IMDIV(IMPOWER(COMPLEX(0,2*PI()*O211),2),IMPOWER(COMPLEX(wsl/2,0),2)))</f>
        <v>0,99999710225616+0,00292382891529783i</v>
      </c>
      <c r="AA211" s="4">
        <f t="shared" si="174"/>
        <v>1.0000013766471738</v>
      </c>
      <c r="AB211" s="4">
        <f t="shared" si="175"/>
        <v>2.9238290560808914E-3</v>
      </c>
      <c r="AC211" s="47" t="str">
        <f t="shared" si="176"/>
        <v>0,136106564745022-1,28159454558956i</v>
      </c>
      <c r="AD211" s="20">
        <f t="shared" si="177"/>
        <v>2.2037213630524097</v>
      </c>
      <c r="AE211" s="43">
        <f t="shared" si="178"/>
        <v>-83.937856267863538</v>
      </c>
      <c r="AF211" t="str">
        <f t="shared" ref="AF211:AF274" si="211">COMPLEX($B$72,0)</f>
        <v>171,265703090588</v>
      </c>
      <c r="AG211" t="str">
        <f t="shared" ref="AG211:AG274" si="212">IMSUM(COMPLEX(1,0),IMDIV(COMPLEX(0,2*PI()*O211),COMPLEX(wp_lf_DCM,0)))</f>
        <v>1+42,2211533469227i</v>
      </c>
      <c r="AH211">
        <f t="shared" si="179"/>
        <v>42.232994091638375</v>
      </c>
      <c r="AI211">
        <f t="shared" si="180"/>
        <v>1.5471159440109337</v>
      </c>
      <c r="AJ211" t="str">
        <f t="shared" ref="AJ211:AJ274" si="213">IMSUM(COMPLEX(1,0),IMDIV(COMPLEX(0,2*PI()*O211),COMPLEX(wz1_dcm,0)))</f>
        <v>1+0,106957160320297i</v>
      </c>
      <c r="AK211">
        <f t="shared" si="181"/>
        <v>1.0057036512530826</v>
      </c>
      <c r="AL211">
        <f t="shared" si="182"/>
        <v>0.10655207974745674</v>
      </c>
      <c r="AM211" t="str">
        <f t="shared" ref="AM211:AM274" si="214">IMSUB(COMPLEX(1,0),IMDIV(COMPLEX(0,2*PI()*O211),COMPLEX(wz2_dcm,0)))</f>
        <v>1-0,00672338382680986i</v>
      </c>
      <c r="AN211">
        <f t="shared" si="183"/>
        <v>1.0000226016896232</v>
      </c>
      <c r="AO211">
        <f t="shared" si="184"/>
        <v>-6.7232825218563087E-3</v>
      </c>
      <c r="AP211" s="41" t="str">
        <f t="shared" si="185"/>
        <v>0,502450045949783-4,04741223463225i</v>
      </c>
      <c r="AQ211">
        <f t="shared" si="186"/>
        <v>12.209967453371286</v>
      </c>
      <c r="AR211" s="43">
        <f t="shared" si="187"/>
        <v>-82.92344525433046</v>
      </c>
      <c r="AS211" t="str">
        <f t="shared" ref="AS211:AS274" si="215">COMPLEX(Adc_ea,0)</f>
        <v>-0,0000166666666666667</v>
      </c>
      <c r="AT211" t="str">
        <f t="shared" ref="AT211:AT274" si="216">COMPLEX(0,2*PI()*O211*wp0_ea)</f>
        <v>8,13943990037458E-06i</v>
      </c>
      <c r="AU211">
        <f t="shared" si="188"/>
        <v>8.1394399003745798E-6</v>
      </c>
      <c r="AV211">
        <f t="shared" si="189"/>
        <v>1.5707963267948966</v>
      </c>
      <c r="AW211" t="str">
        <f t="shared" ref="AW211:AW274" si="217">IMSUM(COMPLEX(1,0),IMDIV(COMPLEX(0,2*PI()*O211),COMPLEX(wp1_ea,0)))</f>
        <v>1+0,0255094935586516i</v>
      </c>
      <c r="AX211">
        <f t="shared" si="190"/>
        <v>1.0003253142161399</v>
      </c>
      <c r="AY211">
        <f t="shared" si="191"/>
        <v>2.5503962417587789E-2</v>
      </c>
      <c r="AZ211" t="str">
        <f t="shared" ref="AZ211:AZ274" si="218">IMSUM(COMPLEX(1,0),IMDIV(COMPLEX(0,2*PI()*O211),COMPLEX(wz_ea,0)))</f>
        <v>1+1,7647931452849i</v>
      </c>
      <c r="BA211">
        <f t="shared" si="192"/>
        <v>2.0284217622685303</v>
      </c>
      <c r="BB211">
        <f t="shared" si="193"/>
        <v>1.05526852879212</v>
      </c>
      <c r="BC211" s="41" t="str">
        <f t="shared" si="194"/>
        <v>-3,55911585557001+2,13843418534004i</v>
      </c>
      <c r="BD211">
        <f t="shared" si="195"/>
        <v>12.36542461866973</v>
      </c>
      <c r="BE211" s="43">
        <f t="shared" si="196"/>
        <v>149.00116354538</v>
      </c>
      <c r="BF211" s="41" t="str">
        <f t="shared" si="197"/>
        <v>2,25618655540288+4,8523983985198i</v>
      </c>
      <c r="BG211" s="20">
        <f t="shared" si="198"/>
        <v>14.569145981722148</v>
      </c>
      <c r="BH211" s="43">
        <f t="shared" si="199"/>
        <v>65.063307277516429</v>
      </c>
      <c r="BI211" s="41" t="str">
        <f t="shared" si="203"/>
        <v>6,86684675952937+15,4796654129924i</v>
      </c>
      <c r="BJ211" s="20">
        <f t="shared" si="200"/>
        <v>24.575392072041026</v>
      </c>
      <c r="BK211" s="43">
        <f t="shared" si="204"/>
        <v>66.077718291049578</v>
      </c>
      <c r="BL211">
        <f t="shared" si="201"/>
        <v>14.569145981722148</v>
      </c>
      <c r="BM211" s="43">
        <f t="shared" si="202"/>
        <v>65.063307277516429</v>
      </c>
    </row>
    <row r="212" spans="14:65" x14ac:dyDescent="0.25">
      <c r="N212" s="9">
        <v>94</v>
      </c>
      <c r="O212" s="34">
        <f t="shared" si="205"/>
        <v>870.96358995608091</v>
      </c>
      <c r="P212" s="33" t="str">
        <f t="shared" si="206"/>
        <v>54,631621870174</v>
      </c>
      <c r="Q212" s="4" t="str">
        <f t="shared" si="207"/>
        <v>1+43,6220743581373i</v>
      </c>
      <c r="R212" s="4">
        <f t="shared" ref="R212:R275" si="219">IMABS(Q212)</f>
        <v>43.63353493938876</v>
      </c>
      <c r="S212" s="4">
        <f t="shared" ref="S212:S275" si="220">IMARGUMENT(Q212)</f>
        <v>1.5478761677390032</v>
      </c>
      <c r="T212" s="4" t="str">
        <f t="shared" si="208"/>
        <v>1+0,109448512630009i</v>
      </c>
      <c r="U212" s="4">
        <f t="shared" ref="U212:U275" si="221">IMABS(T212)</f>
        <v>1.0059716581081801</v>
      </c>
      <c r="V212" s="4">
        <f t="shared" ref="V212:V275" si="222">IMARGUMENT(T212)</f>
        <v>0.1090146000150978</v>
      </c>
      <c r="W212" t="str">
        <f t="shared" si="209"/>
        <v>1-0,0217766358807228i</v>
      </c>
      <c r="X212" s="4">
        <f t="shared" ref="X212:X275" si="223">IMABS(W212)</f>
        <v>1.0002370828310063</v>
      </c>
      <c r="Y212" s="4">
        <f t="shared" ref="Y212:Y275" si="224">IMARGUMENT(W212)</f>
        <v>-2.1773194540846325E-2</v>
      </c>
      <c r="Z212" t="str">
        <f t="shared" si="210"/>
        <v>0,9999969656897+0,0029919336396521i</v>
      </c>
      <c r="AA212" s="4">
        <f t="shared" ref="AA212:AA275" si="225">IMABS(Z212)</f>
        <v>1.0000014415267167</v>
      </c>
      <c r="AB212" s="4">
        <f t="shared" ref="AB212:AB275" si="226">IMARGUMENT(Z212)</f>
        <v>2.9919337905036092E-3</v>
      </c>
      <c r="AC212" s="47" t="str">
        <f t="shared" ref="AC212:AC275" si="227">(IMDIV(IMPRODUCT(P212,T212,W212),IMPRODUCT(Q212,Z212)))</f>
        <v>0,134757158856006-1,25260162170067i</v>
      </c>
      <c r="AD212" s="20">
        <f t="shared" ref="AD212:AD275" si="228">20*LOG(IMABS(AC212))</f>
        <v>2.0062353211123027</v>
      </c>
      <c r="AE212" s="43">
        <f t="shared" ref="AE212:AE275" si="229">(180/PI())*IMARGUMENT(AC212)</f>
        <v>-83.859632466643021</v>
      </c>
      <c r="AF212" t="str">
        <f t="shared" si="211"/>
        <v>171,265703090588</v>
      </c>
      <c r="AG212" t="str">
        <f t="shared" si="212"/>
        <v>1+43,204610345917i</v>
      </c>
      <c r="AH212">
        <f t="shared" ref="AH212:AH275" si="230">IMABS(AG212)</f>
        <v>43.216181635384196</v>
      </c>
      <c r="AI212">
        <f t="shared" ref="AI212:AI275" si="231">IMARGUMENT(AG212)</f>
        <v>1.5476547806673953</v>
      </c>
      <c r="AJ212" t="str">
        <f t="shared" si="213"/>
        <v>1+0,109448512630009i</v>
      </c>
      <c r="AK212">
        <f t="shared" ref="AK212:AK275" si="232">IMABS(AJ212)</f>
        <v>1.0059716581081801</v>
      </c>
      <c r="AL212">
        <f t="shared" ref="AL212:AL275" si="233">IMARGUMENT(AJ212)</f>
        <v>0.1090146000150978</v>
      </c>
      <c r="AM212" t="str">
        <f t="shared" si="214"/>
        <v>1-0,00687999155438827i</v>
      </c>
      <c r="AN212">
        <f t="shared" ref="AN212:AN275" si="234">IMABS(AM212)</f>
        <v>1.0000236668618341</v>
      </c>
      <c r="AO212">
        <f t="shared" ref="AO212:AO275" si="235">IMARGUMENT(AM212)</f>
        <v>-6.879883004313571E-3</v>
      </c>
      <c r="AP212" s="41" t="str">
        <f t="shared" ref="AP212:AP275" si="236">(IMDIV(IMPRODUCT(AF212,AJ212,AM212),IMPRODUCT(AG212)))</f>
        <v>0,498140954655809-3,95551596626932i</v>
      </c>
      <c r="AQ212">
        <f t="shared" ref="AQ212:AQ275" si="237">20*LOG(IMABS(AP212))</f>
        <v>12.012400662419907</v>
      </c>
      <c r="AR212" s="43">
        <f t="shared" ref="AR212:AR275" si="238">(180/PI())*IMARGUMENT(AP212)</f>
        <v>-82.8221988490059</v>
      </c>
      <c r="AS212" t="str">
        <f t="shared" si="215"/>
        <v>-0,0000166666666666667</v>
      </c>
      <c r="AT212" t="str">
        <f t="shared" si="216"/>
        <v>8,32903181114366E-06i</v>
      </c>
      <c r="AU212">
        <f t="shared" ref="AU212:AU275" si="239">IMABS(AT212)</f>
        <v>8.3290318111436607E-6</v>
      </c>
      <c r="AV212">
        <f t="shared" ref="AV212:AV275" si="240">IMARGUMENT(AT212)</f>
        <v>1.5707963267948966</v>
      </c>
      <c r="AW212" t="str">
        <f t="shared" si="217"/>
        <v>1+0,0261036859951992i</v>
      </c>
      <c r="AX212">
        <f t="shared" ref="AX212:AX275" si="241">IMABS(AW212)</f>
        <v>1.0003406431923756</v>
      </c>
      <c r="AY212">
        <f t="shared" ref="AY212:AY275" si="242">IMARGUMENT(AW212)</f>
        <v>2.6097759379765224E-2</v>
      </c>
      <c r="AZ212" t="str">
        <f t="shared" si="218"/>
        <v>1+1,80590045839514i</v>
      </c>
      <c r="BA212">
        <f t="shared" ref="BA212:BA275" si="243">IMABS(AZ212)</f>
        <v>2.064285945704174</v>
      </c>
      <c r="BB212">
        <f t="shared" ref="BB212:BB275" si="244">IMARGUMENT(AZ212)</f>
        <v>1.0650859618880568</v>
      </c>
      <c r="BC212" s="41" t="str">
        <f t="shared" ref="BC212:BC275" si="245">IMPRODUCT(AS212,IMDIV(AZ212,IMPRODUCT(AT212,AW212)))</f>
        <v>-3,55900677835769+2,09393609388685i</v>
      </c>
      <c r="BD212">
        <f t="shared" ref="BD212:BD275" si="246">20*LOG(IMABS(BC212))</f>
        <v>12.317523406435111</v>
      </c>
      <c r="BE212" s="43">
        <f t="shared" ref="BE212:BE275" si="247">(180/PI())*IMARGUMENT(BC212)</f>
        <v>149.52963896760889</v>
      </c>
      <c r="BF212" s="41" t="str">
        <f t="shared" ref="BF212:BF275" si="248">IMPRODUCT(AC212,BC212)</f>
        <v>2,14326610513949+4,74019054105275i</v>
      </c>
      <c r="BG212" s="20">
        <f t="shared" ref="BG212:BG275" si="249">20*LOG(IMABS(BF212))</f>
        <v>14.323758727547411</v>
      </c>
      <c r="BH212" s="43">
        <f t="shared" ref="BH212:BH275" si="250">(180/PI())*IMARGUMENT(BF212)</f>
        <v>65.670006500965798</v>
      </c>
      <c r="BI212" s="41" t="str">
        <f t="shared" si="203"/>
        <v>6,50971061751945+15,1207834606516i</v>
      </c>
      <c r="BJ212" s="20">
        <f t="shared" ref="BJ212:BJ275" si="251">20*LOG(IMABS(BI212))</f>
        <v>24.329924068855004</v>
      </c>
      <c r="BK212" s="43">
        <f t="shared" si="204"/>
        <v>66.707440118602975</v>
      </c>
      <c r="BL212">
        <f t="shared" ref="BL212:BL275" si="252">IF($B$31=0,BJ212,BG212)</f>
        <v>14.323758727547411</v>
      </c>
      <c r="BM212" s="43">
        <f t="shared" ref="BM212:BM275" si="253">IF($B$31=0,BK212,BH212)</f>
        <v>65.670006500965798</v>
      </c>
    </row>
    <row r="213" spans="14:65" x14ac:dyDescent="0.25">
      <c r="N213" s="9">
        <v>95</v>
      </c>
      <c r="O213" s="34">
        <f t="shared" si="205"/>
        <v>891.25093813374656</v>
      </c>
      <c r="P213" s="33" t="str">
        <f t="shared" si="206"/>
        <v>54,631621870174</v>
      </c>
      <c r="Q213" s="4" t="str">
        <f t="shared" si="207"/>
        <v>1+44,6381629994319i</v>
      </c>
      <c r="R213" s="4">
        <f t="shared" si="219"/>
        <v>44.649362772203716</v>
      </c>
      <c r="S213" s="4">
        <f t="shared" si="220"/>
        <v>1.5483977177424448</v>
      </c>
      <c r="T213" s="4" t="str">
        <f t="shared" si="208"/>
        <v>1+0,11199789598984i</v>
      </c>
      <c r="U213" s="4">
        <f t="shared" si="221"/>
        <v>1.0062522192304229</v>
      </c>
      <c r="V213" s="4">
        <f t="shared" si="222"/>
        <v>0.11153310612895212</v>
      </c>
      <c r="W213" t="str">
        <f t="shared" si="209"/>
        <v>1-0,0222838788921933i</v>
      </c>
      <c r="X213" s="4">
        <f t="shared" si="223"/>
        <v>1.0002482548140146</v>
      </c>
      <c r="Y213" s="4">
        <f t="shared" si="224"/>
        <v>-2.2280191479507074E-2</v>
      </c>
      <c r="Z213" t="str">
        <f t="shared" si="210"/>
        <v>0,999996822687061+0,00306162472682505i</v>
      </c>
      <c r="AA213" s="4">
        <f t="shared" si="225"/>
        <v>1.0000015094639534</v>
      </c>
      <c r="AB213" s="4">
        <f t="shared" si="226"/>
        <v>3.061624888465063E-3</v>
      </c>
      <c r="AC213" s="47" t="str">
        <f t="shared" si="227"/>
        <v>0,133468384206169-1,22427006072033i</v>
      </c>
      <c r="AD213" s="20">
        <f t="shared" si="228"/>
        <v>1.8088565326375985</v>
      </c>
      <c r="AE213" s="43">
        <f t="shared" si="229"/>
        <v>-83.778257100237695</v>
      </c>
      <c r="AF213" t="str">
        <f t="shared" si="211"/>
        <v>171,265703090588</v>
      </c>
      <c r="AG213" t="str">
        <f t="shared" si="212"/>
        <v>1+44,2109750011975i</v>
      </c>
      <c r="AH213">
        <f t="shared" si="230"/>
        <v>44.222282964095264</v>
      </c>
      <c r="AI213">
        <f t="shared" si="231"/>
        <v>1.5481813648917477</v>
      </c>
      <c r="AJ213" t="str">
        <f t="shared" si="213"/>
        <v>1+0,11199789598984i</v>
      </c>
      <c r="AK213">
        <f t="shared" si="232"/>
        <v>1.0062522192304229</v>
      </c>
      <c r="AL213">
        <f t="shared" si="233"/>
        <v>0.11153310612895212</v>
      </c>
      <c r="AM213" t="str">
        <f t="shared" si="214"/>
        <v>1-0,0070402471445563i</v>
      </c>
      <c r="AN213">
        <f t="shared" si="234"/>
        <v>1.0000247822328487</v>
      </c>
      <c r="AO213">
        <f t="shared" si="235"/>
        <v>-7.0401308312113518E-3</v>
      </c>
      <c r="AP213" s="41" t="str">
        <f t="shared" si="236"/>
        <v>0,494025601400503-3,86570798924661i</v>
      </c>
      <c r="AQ213">
        <f t="shared" si="237"/>
        <v>11.814937129313201</v>
      </c>
      <c r="AR213" s="43">
        <f t="shared" si="238"/>
        <v>-82.717251655775101</v>
      </c>
      <c r="AS213" t="str">
        <f t="shared" si="215"/>
        <v>-0,0000166666666666667</v>
      </c>
      <c r="AT213" t="str">
        <f t="shared" si="216"/>
        <v>8,52303988482679E-06i</v>
      </c>
      <c r="AU213">
        <f t="shared" si="239"/>
        <v>8.5230398848267895E-6</v>
      </c>
      <c r="AV213">
        <f t="shared" si="240"/>
        <v>1.5707963267948966</v>
      </c>
      <c r="AW213" t="str">
        <f t="shared" si="217"/>
        <v>1+0,0267117189515846i</v>
      </c>
      <c r="AX213">
        <f t="shared" si="241"/>
        <v>1.0003566943492448</v>
      </c>
      <c r="AY213">
        <f t="shared" si="242"/>
        <v>2.6705368591022297E-2</v>
      </c>
      <c r="AZ213" t="str">
        <f t="shared" si="218"/>
        <v>1+1,84796528383235i</v>
      </c>
      <c r="BA213">
        <f t="shared" si="243"/>
        <v>2.1011843541797033</v>
      </c>
      <c r="BB213">
        <f t="shared" si="244"/>
        <v>1.0747841786105561</v>
      </c>
      <c r="BC213" s="41" t="str">
        <f t="shared" si="245"/>
        <v>-3,55889256766041+2,05054796680757i</v>
      </c>
      <c r="BD213">
        <f t="shared" si="246"/>
        <v>12.271270087214782</v>
      </c>
      <c r="BE213" s="43">
        <f t="shared" si="247"/>
        <v>150.05049241121287</v>
      </c>
      <c r="BF213" s="41" t="str">
        <f t="shared" si="248"/>
        <v>2,03542484326447+4,63072894377379i</v>
      </c>
      <c r="BG213" s="20">
        <f t="shared" si="249"/>
        <v>14.080126619852374</v>
      </c>
      <c r="BH213" s="43">
        <f t="shared" si="250"/>
        <v>66.272235310975205</v>
      </c>
      <c r="BI213" s="41" t="str">
        <f t="shared" si="203"/>
        <v>6,1686356165632+14,7706626241779i</v>
      </c>
      <c r="BJ213" s="20">
        <f t="shared" si="251"/>
        <v>24.086207216527974</v>
      </c>
      <c r="BK213" s="43">
        <f t="shared" si="204"/>
        <v>67.333240755437757</v>
      </c>
      <c r="BL213">
        <f t="shared" si="252"/>
        <v>14.080126619852374</v>
      </c>
      <c r="BM213" s="43">
        <f t="shared" si="253"/>
        <v>66.272235310975205</v>
      </c>
    </row>
    <row r="214" spans="14:65" x14ac:dyDescent="0.25">
      <c r="N214" s="9">
        <v>96</v>
      </c>
      <c r="O214" s="34">
        <f t="shared" si="205"/>
        <v>912.01083935590987</v>
      </c>
      <c r="P214" s="33" t="str">
        <f t="shared" si="206"/>
        <v>54,631621870174</v>
      </c>
      <c r="Q214" s="4" t="str">
        <f t="shared" si="207"/>
        <v>1+45,6779193856046i</v>
      </c>
      <c r="R214" s="4">
        <f t="shared" si="219"/>
        <v>45.688864282205493</v>
      </c>
      <c r="S214" s="4">
        <f t="shared" si="220"/>
        <v>1.5489074075953002</v>
      </c>
      <c r="T214" s="4" t="str">
        <f t="shared" si="208"/>
        <v>1+0,114606662116591i</v>
      </c>
      <c r="U214" s="4">
        <f t="shared" si="221"/>
        <v>1.0065459189731518</v>
      </c>
      <c r="V214" s="4">
        <f t="shared" si="222"/>
        <v>0.11410880556841704</v>
      </c>
      <c r="W214" t="str">
        <f t="shared" si="209"/>
        <v>1-0,0228029371112143i</v>
      </c>
      <c r="X214" s="4">
        <f t="shared" si="223"/>
        <v>1.0002599531826204</v>
      </c>
      <c r="Y214" s="4">
        <f t="shared" si="224"/>
        <v>-2.2798986032791169E-2</v>
      </c>
      <c r="Z214" t="str">
        <f t="shared" si="210"/>
        <v>0,999996672944916+0,00313293912795355i</v>
      </c>
      <c r="AA214" s="4">
        <f t="shared" si="225"/>
        <v>1.0000015806029912</v>
      </c>
      <c r="AB214" s="4">
        <f t="shared" si="226"/>
        <v>3.1329393011536163E-3</v>
      </c>
      <c r="AC214" s="47" t="str">
        <f t="shared" si="227"/>
        <v>0,132237515551604-1,19658502644138i</v>
      </c>
      <c r="AD214" s="20">
        <f t="shared" si="228"/>
        <v>1.6115903716246149</v>
      </c>
      <c r="AE214" s="43">
        <f t="shared" si="229"/>
        <v>-83.693694223694493</v>
      </c>
      <c r="AF214" t="str">
        <f t="shared" si="211"/>
        <v>171,265703090588</v>
      </c>
      <c r="AG214" t="str">
        <f t="shared" si="212"/>
        <v>1+45,2407809006249i</v>
      </c>
      <c r="AH214">
        <f t="shared" si="230"/>
        <v>45.251831526451468</v>
      </c>
      <c r="AI214">
        <f t="shared" si="231"/>
        <v>1.5486959747171107</v>
      </c>
      <c r="AJ214" t="str">
        <f t="shared" si="213"/>
        <v>1+0,114606662116591i</v>
      </c>
      <c r="AK214">
        <f t="shared" si="232"/>
        <v>1.0065459189731518</v>
      </c>
      <c r="AL214">
        <f t="shared" si="233"/>
        <v>0.11410880556841704</v>
      </c>
      <c r="AM214" t="str">
        <f t="shared" si="214"/>
        <v>1-0,00720423556694904i</v>
      </c>
      <c r="AN214">
        <f t="shared" si="234"/>
        <v>1.0000259501683464</v>
      </c>
      <c r="AO214">
        <f t="shared" si="235"/>
        <v>-7.2041109351291431E-3</v>
      </c>
      <c r="AP214" s="41" t="str">
        <f t="shared" si="236"/>
        <v>0,490095284385661-3,77794128466146i</v>
      </c>
      <c r="AQ214">
        <f t="shared" si="237"/>
        <v>11.617582048576176</v>
      </c>
      <c r="AR214" s="43">
        <f t="shared" si="238"/>
        <v>-82.608555287567427</v>
      </c>
      <c r="AS214" t="str">
        <f t="shared" si="215"/>
        <v>-0,0000166666666666667</v>
      </c>
      <c r="AT214" t="str">
        <f t="shared" si="216"/>
        <v>8,72156698707261E-06i</v>
      </c>
      <c r="AU214">
        <f t="shared" si="239"/>
        <v>8.7215669870726096E-6</v>
      </c>
      <c r="AV214">
        <f t="shared" si="240"/>
        <v>1.5707963267948966</v>
      </c>
      <c r="AW214" t="str">
        <f t="shared" si="217"/>
        <v>1+0,0273339148149295i</v>
      </c>
      <c r="AX214">
        <f t="shared" si="241"/>
        <v>1.0003735016977959</v>
      </c>
      <c r="AY214">
        <f t="shared" si="242"/>
        <v>2.7327110418196878E-2</v>
      </c>
      <c r="AZ214" t="str">
        <f t="shared" si="218"/>
        <v>1+1,89100992492376i</v>
      </c>
      <c r="BA214">
        <f t="shared" si="243"/>
        <v>2.1391396719616425</v>
      </c>
      <c r="BB214">
        <f t="shared" si="244"/>
        <v>1.084361022965465</v>
      </c>
      <c r="BC214" s="41" t="str">
        <f t="shared" si="245"/>
        <v>-3,55877298223506+2,00824677998485i</v>
      </c>
      <c r="BD214">
        <f t="shared" si="246"/>
        <v>12.226623829918458</v>
      </c>
      <c r="BE214" s="43">
        <f t="shared" si="247"/>
        <v>150.56358199115897</v>
      </c>
      <c r="BF214" s="41" t="str">
        <f t="shared" si="248"/>
        <v>1,93243472874605+4,52394002784631i</v>
      </c>
      <c r="BG214" s="20">
        <f t="shared" si="249"/>
        <v>13.838214201543067</v>
      </c>
      <c r="BH214" s="43">
        <f t="shared" si="250"/>
        <v>66.869887767464476</v>
      </c>
      <c r="BI214" s="41" t="str">
        <f t="shared" si="203"/>
        <v>5,8429005631007+14,4290676490769i</v>
      </c>
      <c r="BJ214" s="20">
        <f t="shared" si="251"/>
        <v>23.844205878494641</v>
      </c>
      <c r="BK214" s="43">
        <f t="shared" si="204"/>
        <v>67.955026703591599</v>
      </c>
      <c r="BL214">
        <f t="shared" si="252"/>
        <v>13.838214201543067</v>
      </c>
      <c r="BM214" s="43">
        <f t="shared" si="253"/>
        <v>66.869887767464476</v>
      </c>
    </row>
    <row r="215" spans="14:65" x14ac:dyDescent="0.25">
      <c r="N215" s="9">
        <v>97</v>
      </c>
      <c r="O215" s="34">
        <f t="shared" si="205"/>
        <v>933.25430079699106</v>
      </c>
      <c r="P215" s="33" t="str">
        <f t="shared" si="206"/>
        <v>54,631621870174</v>
      </c>
      <c r="Q215" s="4" t="str">
        <f t="shared" si="207"/>
        <v>1+46,7418948092544i</v>
      </c>
      <c r="R215" s="4">
        <f t="shared" si="219"/>
        <v>46.752590627251912</v>
      </c>
      <c r="S215" s="4">
        <f t="shared" si="220"/>
        <v>1.5494055064819954</v>
      </c>
      <c r="T215" s="4" t="str">
        <f t="shared" si="208"/>
        <v>1+0,117276194212596i</v>
      </c>
      <c r="U215" s="4">
        <f t="shared" si="221"/>
        <v>1.0068533685343612</v>
      </c>
      <c r="V215" s="4">
        <f t="shared" si="222"/>
        <v>0.11674292722722361</v>
      </c>
      <c r="W215" t="str">
        <f t="shared" si="209"/>
        <v>1-0,0233340857493244i</v>
      </c>
      <c r="X215" s="4">
        <f t="shared" si="223"/>
        <v>1.0002722027317148</v>
      </c>
      <c r="Y215" s="4">
        <f t="shared" si="224"/>
        <v>-2.3329852154738633E-2</v>
      </c>
      <c r="Z215" t="str">
        <f t="shared" si="210"/>
        <v>0,99999651614564+0,00320591465487704i</v>
      </c>
      <c r="AA215" s="4">
        <f t="shared" si="225"/>
        <v>1.0000016550947262</v>
      </c>
      <c r="AB215" s="4">
        <f t="shared" si="226"/>
        <v>3.2059148404638901E-3</v>
      </c>
      <c r="AC215" s="47" t="str">
        <f t="shared" si="227"/>
        <v>0,131061949734636-1,16953201308745i</v>
      </c>
      <c r="AD215" s="20">
        <f t="shared" si="228"/>
        <v>1.414442433398551</v>
      </c>
      <c r="AE215" s="43">
        <f t="shared" si="229"/>
        <v>-83.605906712592883</v>
      </c>
      <c r="AF215" t="str">
        <f t="shared" si="211"/>
        <v>171,265703090588</v>
      </c>
      <c r="AG215" t="str">
        <f t="shared" si="212"/>
        <v>1+46,2945740609184i</v>
      </c>
      <c r="AH215">
        <f t="shared" si="230"/>
        <v>46.305373203137648</v>
      </c>
      <c r="AI215">
        <f t="shared" si="231"/>
        <v>1.5491988819055558</v>
      </c>
      <c r="AJ215" t="str">
        <f t="shared" si="213"/>
        <v>1+0,117276194212596i</v>
      </c>
      <c r="AK215">
        <f t="shared" si="232"/>
        <v>1.0068533685343612</v>
      </c>
      <c r="AL215">
        <f t="shared" si="233"/>
        <v>0.11674292722722361</v>
      </c>
      <c r="AM215" t="str">
        <f t="shared" si="214"/>
        <v>1-0,00737204377039872i</v>
      </c>
      <c r="AN215">
        <f t="shared" si="234"/>
        <v>1.0000271731454864</v>
      </c>
      <c r="AO215">
        <f t="shared" si="235"/>
        <v>-7.3719102251936369E-3</v>
      </c>
      <c r="AP215" s="41" t="str">
        <f t="shared" si="236"/>
        <v>0,48634169188965-3,69216987604105i</v>
      </c>
      <c r="AQ215">
        <f t="shared" si="237"/>
        <v>11.420340827236831</v>
      </c>
      <c r="AR215" s="43">
        <f t="shared" si="238"/>
        <v>-82.496059884304486</v>
      </c>
      <c r="AS215" t="str">
        <f t="shared" si="215"/>
        <v>-0,0000166666666666667</v>
      </c>
      <c r="AT215" t="str">
        <f t="shared" si="216"/>
        <v>8,92471837957857E-06i</v>
      </c>
      <c r="AU215">
        <f t="shared" si="239"/>
        <v>8.9247183795785694E-6</v>
      </c>
      <c r="AV215">
        <f t="shared" si="240"/>
        <v>1.5707963267948966</v>
      </c>
      <c r="AW215" t="str">
        <f t="shared" si="217"/>
        <v>1+0,0279706034817164i</v>
      </c>
      <c r="AX215">
        <f t="shared" si="241"/>
        <v>1.0003911008496285</v>
      </c>
      <c r="AY215">
        <f t="shared" si="242"/>
        <v>2.7963312593195996E-2</v>
      </c>
      <c r="AZ215" t="str">
        <f t="shared" si="218"/>
        <v>1+1,93505720450784i</v>
      </c>
      <c r="BA215">
        <f t="shared" si="243"/>
        <v>2.1781750124169768</v>
      </c>
      <c r="BB215">
        <f t="shared" si="244"/>
        <v>1.0938145451143233</v>
      </c>
      <c r="BC215" s="41" t="str">
        <f t="shared" si="245"/>
        <v>-3,55864776953559+1,96701008424467i</v>
      </c>
      <c r="BD215">
        <f t="shared" si="246"/>
        <v>12.183543613713535</v>
      </c>
      <c r="BE215" s="43">
        <f t="shared" si="247"/>
        <v>151.06877721227752</v>
      </c>
      <c r="BF215" s="41" t="str">
        <f t="shared" si="248"/>
        <v>1,83407794849584+4,41975266656292i</v>
      </c>
      <c r="BG215" s="20">
        <f t="shared" si="249"/>
        <v>13.597986047112089</v>
      </c>
      <c r="BH215" s="43">
        <f t="shared" si="250"/>
        <v>67.462870499684627</v>
      </c>
      <c r="BI215" s="41" t="str">
        <f t="shared" si="203"/>
        <v>5,53181660184187+14,0957711064555i</v>
      </c>
      <c r="BJ215" s="20">
        <f t="shared" si="251"/>
        <v>23.603884440950349</v>
      </c>
      <c r="BK215" s="43">
        <f t="shared" si="204"/>
        <v>68.572717327973038</v>
      </c>
      <c r="BL215">
        <f t="shared" si="252"/>
        <v>13.597986047112089</v>
      </c>
      <c r="BM215" s="43">
        <f t="shared" si="253"/>
        <v>67.462870499684627</v>
      </c>
    </row>
    <row r="216" spans="14:65" x14ac:dyDescent="0.25">
      <c r="N216" s="9">
        <v>98</v>
      </c>
      <c r="O216" s="34">
        <f t="shared" si="205"/>
        <v>954.99258602143675</v>
      </c>
      <c r="P216" s="33" t="str">
        <f t="shared" si="206"/>
        <v>54,631621870174</v>
      </c>
      <c r="Q216" s="4" t="str">
        <f t="shared" si="207"/>
        <v>1+47,8306534042343i</v>
      </c>
      <c r="R216" s="4">
        <f t="shared" si="219"/>
        <v>47.841105809502245</v>
      </c>
      <c r="S216" s="4">
        <f t="shared" si="220"/>
        <v>1.5498922775119497</v>
      </c>
      <c r="T216" s="4" t="str">
        <f t="shared" si="208"/>
        <v>1+0,120007907699107i</v>
      </c>
      <c r="U216" s="4">
        <f t="shared" si="221"/>
        <v>1.0071752071562907</v>
      </c>
      <c r="V216" s="4">
        <f t="shared" si="222"/>
        <v>0.11943672145574931</v>
      </c>
      <c r="W216" t="str">
        <f t="shared" si="209"/>
        <v>1-0,0238776064285619i</v>
      </c>
      <c r="X216" s="4">
        <f t="shared" si="223"/>
        <v>1.0002850294234924</v>
      </c>
      <c r="Y216" s="4">
        <f t="shared" si="224"/>
        <v>-2.3873070120043458E-2</v>
      </c>
      <c r="Z216" t="str">
        <f t="shared" si="210"/>
        <v>0,999996351956643+0,00328059000018586i</v>
      </c>
      <c r="AA216" s="4">
        <f t="shared" si="225"/>
        <v>1.00000173309717</v>
      </c>
      <c r="AB216" s="4">
        <f t="shared" si="226"/>
        <v>3.2805901990453383E-3</v>
      </c>
      <c r="AC216" s="47" t="str">
        <f t="shared" si="227"/>
        <v>0,129939200227207-1,14309683844505i</v>
      </c>
      <c r="AD216" s="20">
        <f t="shared" si="228"/>
        <v>1.2174185448270904</v>
      </c>
      <c r="AE216" s="43">
        <f t="shared" si="229"/>
        <v>-83.514856277675293</v>
      </c>
      <c r="AF216" t="str">
        <f t="shared" si="211"/>
        <v>171,265703090588</v>
      </c>
      <c r="AG216" t="str">
        <f t="shared" si="212"/>
        <v>1+47,3729132171603i</v>
      </c>
      <c r="AH216">
        <f t="shared" si="230"/>
        <v>47.383466596278083</v>
      </c>
      <c r="AI216">
        <f t="shared" si="231"/>
        <v>1.5496903520870025</v>
      </c>
      <c r="AJ216" t="str">
        <f t="shared" si="213"/>
        <v>1+0,120007907699107i</v>
      </c>
      <c r="AK216">
        <f t="shared" si="232"/>
        <v>1.0071752071562907</v>
      </c>
      <c r="AL216">
        <f t="shared" si="233"/>
        <v>0.11943672145574931</v>
      </c>
      <c r="AM216" t="str">
        <f t="shared" si="214"/>
        <v>1-0,00754376072903601i</v>
      </c>
      <c r="AN216">
        <f t="shared" si="234"/>
        <v>1.0000284537581603</v>
      </c>
      <c r="AO216">
        <f t="shared" si="235"/>
        <v>-7.54361763299054E-3</v>
      </c>
      <c r="AP216" s="41" t="str">
        <f t="shared" si="236"/>
        <v>0,482756884848869-3,60834880761971i</v>
      </c>
      <c r="AQ216">
        <f t="shared" si="237"/>
        <v>11.223219094642388</v>
      </c>
      <c r="AR216" s="43">
        <f t="shared" si="238"/>
        <v>-82.379714121064595</v>
      </c>
      <c r="AS216" t="str">
        <f t="shared" si="215"/>
        <v>-0,0000166666666666667</v>
      </c>
      <c r="AT216" t="str">
        <f t="shared" si="216"/>
        <v>9,13260177590201E-06i</v>
      </c>
      <c r="AU216">
        <f t="shared" si="239"/>
        <v>9.1326017759020094E-6</v>
      </c>
      <c r="AV216">
        <f t="shared" si="240"/>
        <v>1.5707963267948966</v>
      </c>
      <c r="AW216" t="str">
        <f t="shared" si="217"/>
        <v>1+0,0286221225327041i</v>
      </c>
      <c r="AX216">
        <f t="shared" si="241"/>
        <v>1.0004095290921</v>
      </c>
      <c r="AY216">
        <f t="shared" si="242"/>
        <v>2.8614310377615776E-2</v>
      </c>
      <c r="AZ216" t="str">
        <f t="shared" si="218"/>
        <v>1+1,98013047703526i</v>
      </c>
      <c r="BA216">
        <f t="shared" si="243"/>
        <v>2.2183139331672344</v>
      </c>
      <c r="BB216">
        <f t="shared" si="244"/>
        <v>1.1031429977574789</v>
      </c>
      <c r="BC216" s="41" t="str">
        <f t="shared" si="245"/>
        <v>-3,55851666518671+1,92681599335614i</v>
      </c>
      <c r="BD216">
        <f t="shared" si="246"/>
        <v>12.14198832024065</v>
      </c>
      <c r="BE216" s="43">
        <f t="shared" si="247"/>
        <v>151.56595875259825</v>
      </c>
      <c r="BF216" s="41" t="str">
        <f t="shared" si="248"/>
        <v>1,74014646080121+4,31809807869064i</v>
      </c>
      <c r="BG216" s="20">
        <f t="shared" si="249"/>
        <v>13.359406865067738</v>
      </c>
      <c r="BH216" s="43">
        <f t="shared" si="250"/>
        <v>68.051102474922999</v>
      </c>
      <c r="BI216" s="41" t="str">
        <f t="shared" si="203"/>
        <v>5,23472577216089+13,7705530523509i</v>
      </c>
      <c r="BJ216" s="20">
        <f t="shared" si="251"/>
        <v>23.365207414883024</v>
      </c>
      <c r="BK216" s="43">
        <f t="shared" si="204"/>
        <v>69.18624463153364</v>
      </c>
      <c r="BL216">
        <f t="shared" si="252"/>
        <v>13.359406865067738</v>
      </c>
      <c r="BM216" s="43">
        <f t="shared" si="253"/>
        <v>68.051102474922999</v>
      </c>
    </row>
    <row r="217" spans="14:65" x14ac:dyDescent="0.25">
      <c r="N217" s="9">
        <v>99</v>
      </c>
      <c r="O217" s="34">
        <f t="shared" si="205"/>
        <v>977.23722095581138</v>
      </c>
      <c r="P217" s="33" t="str">
        <f t="shared" si="206"/>
        <v>54,631621870174</v>
      </c>
      <c r="Q217" s="4" t="str">
        <f t="shared" si="207"/>
        <v>1+48,9447724447626i</v>
      </c>
      <c r="R217" s="4">
        <f t="shared" si="219"/>
        <v>48.954986974460446</v>
      </c>
      <c r="S217" s="4">
        <f t="shared" si="220"/>
        <v>1.55036797785437</v>
      </c>
      <c r="T217" s="4" t="str">
        <f t="shared" si="208"/>
        <v>1+0,122803250966771i</v>
      </c>
      <c r="U217" s="4">
        <f t="shared" si="221"/>
        <v>1.0075121033754422</v>
      </c>
      <c r="V217" s="4">
        <f t="shared" si="222"/>
        <v>0.12219146007445465</v>
      </c>
      <c r="W217" t="str">
        <f t="shared" si="209"/>
        <v>1-0,0244337873307853i</v>
      </c>
      <c r="X217" s="4">
        <f t="shared" si="223"/>
        <v>1.0002984604423453</v>
      </c>
      <c r="Y217" s="4">
        <f t="shared" si="224"/>
        <v>-2.442892666695929E-2</v>
      </c>
      <c r="Z217" t="str">
        <f t="shared" si="210"/>
        <v>0,999996180029656+0,00335700475773651i</v>
      </c>
      <c r="AA217" s="4">
        <f t="shared" si="225"/>
        <v>1.0000018147757772</v>
      </c>
      <c r="AB217" s="4">
        <f t="shared" si="226"/>
        <v>3.35700497081782E-3</v>
      </c>
      <c r="AC217" s="47" t="str">
        <f t="shared" si="227"/>
        <v>0,128866891915943-1,11726563711237i</v>
      </c>
      <c r="AD217" s="20">
        <f t="shared" si="228"/>
        <v>1.0205247748714676</v>
      </c>
      <c r="AE217" s="43">
        <f t="shared" si="229"/>
        <v>-83.420503481163394</v>
      </c>
      <c r="AF217" t="str">
        <f t="shared" si="211"/>
        <v>171,265703090588</v>
      </c>
      <c r="AG217" t="str">
        <f t="shared" si="212"/>
        <v>1+48,4763701190445i</v>
      </c>
      <c r="AH217">
        <f t="shared" si="230"/>
        <v>48.486683325616227</v>
      </c>
      <c r="AI217">
        <f t="shared" si="231"/>
        <v>1.5501706448952126</v>
      </c>
      <c r="AJ217" t="str">
        <f t="shared" si="213"/>
        <v>1+0,122803250966771i</v>
      </c>
      <c r="AK217">
        <f t="shared" si="232"/>
        <v>1.0075121033754422</v>
      </c>
      <c r="AL217">
        <f t="shared" si="233"/>
        <v>0.12219146007445465</v>
      </c>
      <c r="AM217" t="str">
        <f t="shared" si="214"/>
        <v>1-0,0077194774894653i</v>
      </c>
      <c r="AN217">
        <f t="shared" si="234"/>
        <v>1.0000297947224923</v>
      </c>
      <c r="AO217">
        <f t="shared" si="235"/>
        <v>-7.7193241595368018E-3</v>
      </c>
      <c r="AP217" s="41" t="str">
        <f t="shared" si="236"/>
        <v>0,479333280211117-3,52643412298108i</v>
      </c>
      <c r="AQ217">
        <f t="shared" si="237"/>
        <v>11.026222712594787</v>
      </c>
      <c r="AR217" s="43">
        <f t="shared" si="238"/>
        <v>-82.25946521779602</v>
      </c>
      <c r="AS217" t="str">
        <f t="shared" si="215"/>
        <v>-0,0000166666666666667</v>
      </c>
      <c r="AT217" t="str">
        <f t="shared" si="216"/>
        <v>0,0000093453273985713i</v>
      </c>
      <c r="AU217">
        <f t="shared" si="239"/>
        <v>9.3453273985712998E-6</v>
      </c>
      <c r="AV217">
        <f t="shared" si="240"/>
        <v>1.5707963267948966</v>
      </c>
      <c r="AW217" t="str">
        <f t="shared" si="217"/>
        <v>1+0,0292888174119172i</v>
      </c>
      <c r="AX217">
        <f t="shared" si="241"/>
        <v>1.0004288254670537</v>
      </c>
      <c r="AY217">
        <f t="shared" si="242"/>
        <v>2.9280446730701983E-2</v>
      </c>
      <c r="AZ217" t="str">
        <f t="shared" si="218"/>
        <v>1+2,02625364095173i</v>
      </c>
      <c r="BA217">
        <f t="shared" si="243"/>
        <v>2.25958045164808</v>
      </c>
      <c r="BB217">
        <f t="shared" si="244"/>
        <v>1.112344831962208</v>
      </c>
      <c r="BC217" s="41" t="str">
        <f t="shared" si="245"/>
        <v>-3,55837939243351+1,88764317232285i</v>
      </c>
      <c r="BD217">
        <f t="shared" si="246"/>
        <v>12.101916821400746</v>
      </c>
      <c r="BE217" s="43">
        <f t="shared" si="247"/>
        <v>152.05501821469639</v>
      </c>
      <c r="BF217" s="41" t="str">
        <f t="shared" si="248"/>
        <v>1,65044155900546+4,21890972763835i</v>
      </c>
      <c r="BG217" s="20">
        <f t="shared" si="249"/>
        <v>13.122441596272216</v>
      </c>
      <c r="BH217" s="43">
        <f t="shared" si="250"/>
        <v>68.634514733532967</v>
      </c>
      <c r="BI217" s="41" t="str">
        <f t="shared" si="203"/>
        <v>4,95099962848076+13,4532007056478i</v>
      </c>
      <c r="BJ217" s="20">
        <f t="shared" si="251"/>
        <v>23.128139533995508</v>
      </c>
      <c r="BK217" s="43">
        <f t="shared" si="204"/>
        <v>69.795552996900327</v>
      </c>
      <c r="BL217">
        <f t="shared" si="252"/>
        <v>13.122441596272216</v>
      </c>
      <c r="BM217" s="43">
        <f t="shared" si="253"/>
        <v>68.634514733532967</v>
      </c>
    </row>
    <row r="218" spans="14:65" x14ac:dyDescent="0.25">
      <c r="N218" s="9">
        <v>100</v>
      </c>
      <c r="O218" s="34">
        <f t="shared" si="205"/>
        <v>1000</v>
      </c>
      <c r="P218" s="33" t="str">
        <f t="shared" si="206"/>
        <v>54,631621870174</v>
      </c>
      <c r="Q218" s="4" t="str">
        <f t="shared" si="207"/>
        <v>1+50,0848426515016i</v>
      </c>
      <c r="R218" s="4">
        <f t="shared" si="219"/>
        <v>50.094824716987233</v>
      </c>
      <c r="S218" s="4">
        <f t="shared" si="220"/>
        <v>1.5508328588702074</v>
      </c>
      <c r="T218" s="4" t="str">
        <f t="shared" si="208"/>
        <v>1+0,125663706143592i</v>
      </c>
      <c r="U218" s="4">
        <f t="shared" si="221"/>
        <v>1.0078647563248468</v>
      </c>
      <c r="V218" s="4">
        <f t="shared" si="222"/>
        <v>0.12500843635595246</v>
      </c>
      <c r="W218" t="str">
        <f t="shared" si="209"/>
        <v>1-0,0250029233504708i</v>
      </c>
      <c r="X218" s="4">
        <f t="shared" si="223"/>
        <v>1.0003125242523305</v>
      </c>
      <c r="Y218" s="4">
        <f t="shared" si="224"/>
        <v>-2.4997715143224745E-2</v>
      </c>
      <c r="Z218" t="str">
        <f t="shared" si="210"/>
        <v>0,999996+0,00343519944364491i</v>
      </c>
      <c r="AA218" s="4">
        <f t="shared" si="225"/>
        <v>1.0000019003038034</v>
      </c>
      <c r="AB218" s="4">
        <f t="shared" si="226"/>
        <v>3.4351996719651297E-3</v>
      </c>
      <c r="AC218" s="47" t="str">
        <f t="shared" si="227"/>
        <v>0,127842756118336-1,09202485386502i</v>
      </c>
      <c r="AD218" s="20">
        <f t="shared" si="228"/>
        <v>0.82376744548479031</v>
      </c>
      <c r="AE218" s="43">
        <f t="shared" si="229"/>
        <v>-83.322807754910016</v>
      </c>
      <c r="AF218" t="str">
        <f t="shared" si="211"/>
        <v>171,265703090588</v>
      </c>
      <c r="AG218" t="str">
        <f t="shared" si="212"/>
        <v>1+49,6055298340263i</v>
      </c>
      <c r="AH218">
        <f t="shared" si="230"/>
        <v>49.615608331597365</v>
      </c>
      <c r="AI218">
        <f t="shared" si="231"/>
        <v>1.5506400141009264</v>
      </c>
      <c r="AJ218" t="str">
        <f t="shared" si="213"/>
        <v>1+0,125663706143592i</v>
      </c>
      <c r="AK218">
        <f t="shared" si="232"/>
        <v>1.0078647563248468</v>
      </c>
      <c r="AL218">
        <f t="shared" si="233"/>
        <v>0.12500843635595246</v>
      </c>
      <c r="AM218" t="str">
        <f t="shared" si="214"/>
        <v>1-0,00789928721903887i</v>
      </c>
      <c r="AN218">
        <f t="shared" si="234"/>
        <v>1.0000311988825992</v>
      </c>
      <c r="AO218">
        <f t="shared" si="235"/>
        <v>-7.8991229233372449E-3</v>
      </c>
      <c r="AP218" s="41" t="str">
        <f t="shared" si="236"/>
        <v>0,476063635027132-3,44638284406532i</v>
      </c>
      <c r="AQ218">
        <f t="shared" si="237"/>
        <v>10.829357785812771</v>
      </c>
      <c r="AR218" s="43">
        <f t="shared" si="238"/>
        <v>-82.135258950725984</v>
      </c>
      <c r="AS218" t="str">
        <f t="shared" si="215"/>
        <v>-0,0000166666666666667</v>
      </c>
      <c r="AT218" t="str">
        <f t="shared" si="216"/>
        <v>9,56300803752733E-06i</v>
      </c>
      <c r="AU218">
        <f t="shared" si="239"/>
        <v>9.5630080375273305E-6</v>
      </c>
      <c r="AV218">
        <f t="shared" si="240"/>
        <v>1.5707963267948966</v>
      </c>
      <c r="AW218" t="str">
        <f t="shared" si="217"/>
        <v>1+0,0299710416098054i</v>
      </c>
      <c r="AX218">
        <f t="shared" si="241"/>
        <v>1.0004490308532348</v>
      </c>
      <c r="AY218">
        <f t="shared" si="242"/>
        <v>2.9962072480694893E-2</v>
      </c>
      <c r="AZ218" t="str">
        <f t="shared" si="218"/>
        <v>1+2,07345115136927i</v>
      </c>
      <c r="BA218">
        <f t="shared" si="243"/>
        <v>2.3019990610585728</v>
      </c>
      <c r="BB218">
        <f t="shared" si="244"/>
        <v>1.1214186924912724</v>
      </c>
      <c r="BC218" s="41" t="str">
        <f t="shared" si="245"/>
        <v>-3,55823566156559+1,84947082595919i</v>
      </c>
      <c r="BD218">
        <f t="shared" si="246"/>
        <v>12.063288062506563</v>
      </c>
      <c r="BE218" s="43">
        <f t="shared" si="247"/>
        <v>152.5358578482201</v>
      </c>
      <c r="BF218" s="41" t="str">
        <f t="shared" si="248"/>
        <v>1,56477345455261+4,12212322608954i</v>
      </c>
      <c r="BG218" s="20">
        <f t="shared" si="249"/>
        <v>12.887055507991347</v>
      </c>
      <c r="BH218" s="43">
        <f t="shared" si="250"/>
        <v>69.213050093310045</v>
      </c>
      <c r="BI218" s="41" t="str">
        <f t="shared" si="203"/>
        <v>4,68003792185698+13,1435081434438i</v>
      </c>
      <c r="BJ218" s="20">
        <f t="shared" si="251"/>
        <v>22.892645848319315</v>
      </c>
      <c r="BK218" s="43">
        <f t="shared" si="204"/>
        <v>70.400598897494106</v>
      </c>
      <c r="BL218">
        <f t="shared" si="252"/>
        <v>12.887055507991347</v>
      </c>
      <c r="BM218" s="43">
        <f t="shared" si="253"/>
        <v>69.213050093310045</v>
      </c>
    </row>
    <row r="219" spans="14:65" x14ac:dyDescent="0.25">
      <c r="N219" s="9">
        <v>1</v>
      </c>
      <c r="O219" s="34">
        <f>10^(3+(N219/100))</f>
        <v>1023.2929922807547</v>
      </c>
      <c r="P219" s="33" t="str">
        <f t="shared" si="206"/>
        <v>54,631621870174</v>
      </c>
      <c r="Q219" s="4" t="str">
        <f t="shared" si="207"/>
        <v>1+51,2514685047658i</v>
      </c>
      <c r="R219" s="4">
        <f t="shared" si="219"/>
        <v>51.2612233944431</v>
      </c>
      <c r="S219" s="4">
        <f t="shared" si="220"/>
        <v>1.5512871662413297</v>
      </c>
      <c r="T219" s="4" t="str">
        <f t="shared" si="208"/>
        <v>1+0,128590789880765i</v>
      </c>
      <c r="U219" s="4">
        <f t="shared" si="221"/>
        <v>1.0082338970904317</v>
      </c>
      <c r="V219" s="4">
        <f t="shared" si="222"/>
        <v>0.12788896497305269</v>
      </c>
      <c r="W219" t="str">
        <f t="shared" si="209"/>
        <v>1-0,0255853162510696i</v>
      </c>
      <c r="X219" s="4">
        <f t="shared" si="223"/>
        <v>1.0003272506573373</v>
      </c>
      <c r="Y219" s="4">
        <f t="shared" si="224"/>
        <v>-2.5579735655058458E-2</v>
      </c>
      <c r="Z219" t="str">
        <f t="shared" si="210"/>
        <v>0,999995811485808+0,00351521551776859i</v>
      </c>
      <c r="AA219" s="4">
        <f t="shared" si="225"/>
        <v>1.0000019898626682</v>
      </c>
      <c r="AB219" s="4">
        <f t="shared" si="226"/>
        <v>3.5152157624175309E-3</v>
      </c>
      <c r="AC219" s="47" t="str">
        <f t="shared" si="227"/>
        <v>0,126864625819915-1,06736123713856i</v>
      </c>
      <c r="AD219" s="20">
        <f t="shared" si="228"/>
        <v>0.62715314286557311</v>
      </c>
      <c r="AE219" s="43">
        <f t="shared" si="229"/>
        <v>-83.221727420544696</v>
      </c>
      <c r="AF219" t="str">
        <f t="shared" si="211"/>
        <v>171,265703090588</v>
      </c>
      <c r="AG219" t="str">
        <f t="shared" si="212"/>
        <v>1+50,760991057533i</v>
      </c>
      <c r="AH219">
        <f t="shared" si="230"/>
        <v>50.770840185513421</v>
      </c>
      <c r="AI219">
        <f t="shared" si="231"/>
        <v>1.5510987077421912</v>
      </c>
      <c r="AJ219" t="str">
        <f t="shared" si="213"/>
        <v>1+0,128590789880765i</v>
      </c>
      <c r="AK219">
        <f t="shared" si="232"/>
        <v>1.0082338970904317</v>
      </c>
      <c r="AL219">
        <f t="shared" si="233"/>
        <v>0.12788896497305269</v>
      </c>
      <c r="AM219" t="str">
        <f t="shared" si="214"/>
        <v>1-0,0080832852552554i</v>
      </c>
      <c r="AN219">
        <f t="shared" si="234"/>
        <v>1.0000326692166202</v>
      </c>
      <c r="AO219">
        <f t="shared" si="235"/>
        <v>-8.0831092095499501E-3</v>
      </c>
      <c r="AP219" s="41" t="str">
        <f t="shared" si="236"/>
        <v>0,472941031248026-3,36815295054129i</v>
      </c>
      <c r="AQ219">
        <f t="shared" si="237"/>
        <v>10.632630672728038</v>
      </c>
      <c r="AR219" s="43">
        <f t="shared" si="238"/>
        <v>-82.007039665621704</v>
      </c>
      <c r="AS219" t="str">
        <f t="shared" si="215"/>
        <v>-0,0000166666666666667</v>
      </c>
      <c r="AT219" t="str">
        <f t="shared" si="216"/>
        <v>9,78575910992625E-06i</v>
      </c>
      <c r="AU219">
        <f t="shared" si="239"/>
        <v>9.7857591099262502E-6</v>
      </c>
      <c r="AV219">
        <f t="shared" si="240"/>
        <v>1.5707963267948966</v>
      </c>
      <c r="AW219" t="str">
        <f t="shared" si="217"/>
        <v>1+0,0306691568506687i</v>
      </c>
      <c r="AX219">
        <f t="shared" si="241"/>
        <v>1.000470188052563</v>
      </c>
      <c r="AY219">
        <f t="shared" si="242"/>
        <v>3.0659546499598789E-2</v>
      </c>
      <c r="AZ219" t="str">
        <f t="shared" si="218"/>
        <v>1+2,12174803303263i</v>
      </c>
      <c r="BA219">
        <f t="shared" si="243"/>
        <v>2.3455947466853333</v>
      </c>
      <c r="BB219">
        <f t="shared" si="244"/>
        <v>1.1303634126871374</v>
      </c>
      <c r="BC219" s="41" t="str">
        <f t="shared" si="245"/>
        <v>-3,55808516931496+1,8122786877448i</v>
      </c>
      <c r="BD219">
        <f t="shared" si="246"/>
        <v>12.026061140640751</v>
      </c>
      <c r="BE219" s="43">
        <f t="shared" si="247"/>
        <v>153.0083902467654</v>
      </c>
      <c r="BF219" s="41" t="str">
        <f t="shared" si="248"/>
        <v>1,4829608785506+4,02767624576653i</v>
      </c>
      <c r="BG219" s="20">
        <f t="shared" si="249"/>
        <v>12.653214283506326</v>
      </c>
      <c r="BH219" s="43">
        <f t="shared" si="250"/>
        <v>69.786662826220748</v>
      </c>
      <c r="BI219" s="41" t="str">
        <f t="shared" si="203"/>
        <v>4,42126734008662+12,8412760127962i</v>
      </c>
      <c r="BJ219" s="20">
        <f t="shared" si="251"/>
        <v>22.658691813368776</v>
      </c>
      <c r="BK219" s="43">
        <f t="shared" si="204"/>
        <v>71.00135058114364</v>
      </c>
      <c r="BL219">
        <f t="shared" si="252"/>
        <v>12.653214283506326</v>
      </c>
      <c r="BM219" s="43">
        <f t="shared" si="253"/>
        <v>69.786662826220748</v>
      </c>
    </row>
    <row r="220" spans="14:65" x14ac:dyDescent="0.25">
      <c r="N220" s="9">
        <v>2</v>
      </c>
      <c r="O220" s="34">
        <f t="shared" ref="O220:O283" si="254">10^(3+(N220/100))</f>
        <v>1047.1285480509</v>
      </c>
      <c r="P220" s="33" t="str">
        <f t="shared" si="206"/>
        <v>54,631621870174</v>
      </c>
      <c r="Q220" s="4" t="str">
        <f t="shared" si="207"/>
        <v>1+52,4452685650247i</v>
      </c>
      <c r="R220" s="4">
        <f t="shared" si="219"/>
        <v>52.454801447127487</v>
      </c>
      <c r="S220" s="4">
        <f t="shared" si="220"/>
        <v>1.5517311400969531</v>
      </c>
      <c r="T220" s="4" t="str">
        <f t="shared" si="208"/>
        <v>1+0,131586054156834i</v>
      </c>
      <c r="U220" s="4">
        <f t="shared" si="221"/>
        <v>1.008620290123377</v>
      </c>
      <c r="V220" s="4">
        <f t="shared" si="222"/>
        <v>0.13083438191002375</v>
      </c>
      <c r="W220" t="str">
        <f t="shared" si="209"/>
        <v>1-0,0261812748250064i</v>
      </c>
      <c r="X220" s="4">
        <f t="shared" si="223"/>
        <v>1.0003426708640706</v>
      </c>
      <c r="Y220" s="4">
        <f t="shared" si="224"/>
        <v>-2.6175295219270513E-2</v>
      </c>
      <c r="Z220" t="str">
        <f t="shared" si="210"/>
        <v>0,999995614087215+0,00359709540568916i</v>
      </c>
      <c r="AA220" s="4">
        <f t="shared" si="225"/>
        <v>1.0000020836423411</v>
      </c>
      <c r="AB220" s="4">
        <f t="shared" si="226"/>
        <v>3.5970956678345726E-3</v>
      </c>
      <c r="AC220" s="47" t="str">
        <f t="shared" si="227"/>
        <v>0,125930431122759-1,04326183262745i</v>
      </c>
      <c r="AD220" s="20">
        <f t="shared" si="228"/>
        <v>0.43068872907350042</v>
      </c>
      <c r="AE220" s="43">
        <f t="shared" si="229"/>
        <v>-83.117219711776613</v>
      </c>
      <c r="AF220" t="str">
        <f t="shared" si="211"/>
        <v>171,265703090588</v>
      </c>
      <c r="AG220" t="str">
        <f t="shared" si="212"/>
        <v>1+51,9433664303995i</v>
      </c>
      <c r="AH220">
        <f t="shared" si="230"/>
        <v>51.952991406874297</v>
      </c>
      <c r="AI220">
        <f t="shared" si="231"/>
        <v>1.5515469682519314</v>
      </c>
      <c r="AJ220" t="str">
        <f t="shared" si="213"/>
        <v>1+0,131586054156834i</v>
      </c>
      <c r="AK220">
        <f t="shared" si="232"/>
        <v>1.008620290123377</v>
      </c>
      <c r="AL220">
        <f t="shared" si="233"/>
        <v>0.13083438191002375</v>
      </c>
      <c r="AM220" t="str">
        <f t="shared" si="214"/>
        <v>1-0,0082715691563092i</v>
      </c>
      <c r="AN220">
        <f t="shared" si="234"/>
        <v>1.0000342088430314</v>
      </c>
      <c r="AO220">
        <f t="shared" si="235"/>
        <v>-8.2713805202857139E-3</v>
      </c>
      <c r="AP220" s="41" t="str">
        <f t="shared" si="236"/>
        <v>0,469958861197818-3,29170335954292i</v>
      </c>
      <c r="AQ220">
        <f t="shared" si="237"/>
        <v>10.4360479966219</v>
      </c>
      <c r="AR220" s="43">
        <f t="shared" si="238"/>
        <v>-81.874750293065972</v>
      </c>
      <c r="AS220" t="str">
        <f t="shared" si="215"/>
        <v>-0,0000166666666666667</v>
      </c>
      <c r="AT220" t="str">
        <f t="shared" si="216"/>
        <v>0,0000100136987213351i</v>
      </c>
      <c r="AU220">
        <f t="shared" si="239"/>
        <v>1.0013698721335099E-5</v>
      </c>
      <c r="AV220">
        <f t="shared" si="240"/>
        <v>1.5707963267948966</v>
      </c>
      <c r="AW220" t="str">
        <f t="shared" si="217"/>
        <v>1+0,0313835332844486i</v>
      </c>
      <c r="AX220">
        <f t="shared" si="241"/>
        <v>1.0004923418804443</v>
      </c>
      <c r="AY220">
        <f t="shared" si="242"/>
        <v>3.1373235881416439E-2</v>
      </c>
      <c r="AZ220" t="str">
        <f t="shared" si="218"/>
        <v>1+2,17116989358776i</v>
      </c>
      <c r="BA220">
        <f t="shared" si="243"/>
        <v>2.3903930025880444</v>
      </c>
      <c r="BB220">
        <f t="shared" si="244"/>
        <v>1.1391780089663406</v>
      </c>
      <c r="BC220" s="41" t="str">
        <f t="shared" si="245"/>
        <v>-3,55792759822636+1,77604700895099i</v>
      </c>
      <c r="BD220">
        <f t="shared" si="246"/>
        <v>11.990195378108536</v>
      </c>
      <c r="BE220" s="43">
        <f t="shared" si="247"/>
        <v>153.47253802221408</v>
      </c>
      <c r="BF220" s="41" t="str">
        <f t="shared" si="248"/>
        <v>1,4048307010425+3,9355084320129i</v>
      </c>
      <c r="BG220" s="20">
        <f t="shared" si="249"/>
        <v>12.420884107182037</v>
      </c>
      <c r="BH220" s="43">
        <f t="shared" si="250"/>
        <v>70.355318310437497</v>
      </c>
      <c r="BI220" s="41" t="str">
        <f t="shared" si="203"/>
        <v>4,17414030378338+12,5463112578526i</v>
      </c>
      <c r="BJ220" s="20">
        <f t="shared" si="251"/>
        <v>22.426243374730454</v>
      </c>
      <c r="BK220" s="43">
        <f t="shared" si="204"/>
        <v>71.597787729148124</v>
      </c>
      <c r="BL220">
        <f t="shared" si="252"/>
        <v>12.420884107182037</v>
      </c>
      <c r="BM220" s="43">
        <f t="shared" si="253"/>
        <v>70.355318310437497</v>
      </c>
    </row>
    <row r="221" spans="14:65" x14ac:dyDescent="0.25">
      <c r="N221" s="9">
        <v>3</v>
      </c>
      <c r="O221" s="34">
        <f t="shared" si="254"/>
        <v>1071.5193052376069</v>
      </c>
      <c r="P221" s="33" t="str">
        <f t="shared" si="206"/>
        <v>54,631621870174</v>
      </c>
      <c r="Q221" s="4" t="str">
        <f t="shared" si="207"/>
        <v>1+53,6668758008719i</v>
      </c>
      <c r="R221" s="4">
        <f t="shared" si="219"/>
        <v>53.676191726185358</v>
      </c>
      <c r="S221" s="4">
        <f t="shared" si="220"/>
        <v>1.552165015137388</v>
      </c>
      <c r="T221" s="4" t="str">
        <f t="shared" si="208"/>
        <v>1+0,134651087100564i</v>
      </c>
      <c r="U221" s="4">
        <f t="shared" si="221"/>
        <v>1.0090247347103853</v>
      </c>
      <c r="V221" s="4">
        <f t="shared" si="222"/>
        <v>0.13384604433407749</v>
      </c>
      <c r="W221" t="str">
        <f t="shared" si="209"/>
        <v>1-0,0267911150574056i</v>
      </c>
      <c r="X221" s="4">
        <f t="shared" si="223"/>
        <v>1.0003588175479932</v>
      </c>
      <c r="Y221" s="4">
        <f t="shared" si="224"/>
        <v>-2.6784707918539336E-2</v>
      </c>
      <c r="Z221" t="str">
        <f t="shared" si="210"/>
        <v>0,999995407385514+0,00368088252120701i</v>
      </c>
      <c r="AA221" s="4">
        <f t="shared" si="225"/>
        <v>1.0000021818417473</v>
      </c>
      <c r="AB221" s="4">
        <f t="shared" si="226"/>
        <v>3.6808828021001475E-3</v>
      </c>
      <c r="AC221" s="47" t="str">
        <f t="shared" si="227"/>
        <v>0,125038194896026-1,01971397700009i</v>
      </c>
      <c r="AD221" s="20">
        <f t="shared" si="228"/>
        <v>0.23438135401506244</v>
      </c>
      <c r="AE221" s="43">
        <f t="shared" si="229"/>
        <v>-83.009240799033861</v>
      </c>
      <c r="AF221" t="str">
        <f t="shared" si="211"/>
        <v>171,265703090588</v>
      </c>
      <c r="AG221" t="str">
        <f t="shared" si="212"/>
        <v>1+53,1532828636992i</v>
      </c>
      <c r="AH221">
        <f t="shared" si="230"/>
        <v>53.162688788175664</v>
      </c>
      <c r="AI221">
        <f t="shared" si="231"/>
        <v>1.5519850325828111</v>
      </c>
      <c r="AJ221" t="str">
        <f t="shared" si="213"/>
        <v>1+0,134651087100564i</v>
      </c>
      <c r="AK221">
        <f t="shared" si="232"/>
        <v>1.0090247347103853</v>
      </c>
      <c r="AL221">
        <f t="shared" si="233"/>
        <v>0.13384604433407749</v>
      </c>
      <c r="AM221" t="str">
        <f t="shared" si="214"/>
        <v>1-0,00846423875281683i</v>
      </c>
      <c r="AN221">
        <f t="shared" si="234"/>
        <v>1.0000358210272593</v>
      </c>
      <c r="AO221">
        <f t="shared" si="235"/>
        <v>-8.4640366260670327E-3</v>
      </c>
      <c r="AP221" s="41" t="str">
        <f t="shared" si="236"/>
        <v>0,467110813691386-3,21699390576863i</v>
      </c>
      <c r="AQ221">
        <f t="shared" si="237"/>
        <v>10.239616657108641</v>
      </c>
      <c r="AR221" s="43">
        <f t="shared" si="238"/>
        <v>-81.738332365922872</v>
      </c>
      <c r="AS221" t="str">
        <f t="shared" si="215"/>
        <v>-0,0000166666666666667</v>
      </c>
      <c r="AT221" t="str">
        <f t="shared" si="216"/>
        <v>0,0000102469477283529i</v>
      </c>
      <c r="AU221">
        <f t="shared" si="239"/>
        <v>1.02469477283529E-5</v>
      </c>
      <c r="AV221">
        <f t="shared" si="240"/>
        <v>1.5707963267948966</v>
      </c>
      <c r="AW221" t="str">
        <f t="shared" si="217"/>
        <v>1+0,0321145496829861i</v>
      </c>
      <c r="AX221">
        <f t="shared" si="241"/>
        <v>1.000515539260306</v>
      </c>
      <c r="AY221">
        <f t="shared" si="242"/>
        <v>3.2103516123885519E-2</v>
      </c>
      <c r="AZ221" t="str">
        <f t="shared" si="218"/>
        <v>1+2,22174293715931i</v>
      </c>
      <c r="BA221">
        <f t="shared" si="243"/>
        <v>2.4364198486339088</v>
      </c>
      <c r="BB221">
        <f t="shared" si="244"/>
        <v>1.1478616749772943</v>
      </c>
      <c r="BC221" s="41" t="str">
        <f t="shared" si="245"/>
        <v>-3,55776261599876+1,74075654803259i</v>
      </c>
      <c r="BD221">
        <f t="shared" si="246"/>
        <v>11.95565039091572</v>
      </c>
      <c r="BE221" s="43">
        <f t="shared" si="247"/>
        <v>153.92823345958757</v>
      </c>
      <c r="BF221" s="41" t="str">
        <f t="shared" si="248"/>
        <v>1,33021756721021+3,84556132290177i</v>
      </c>
      <c r="BG221" s="20">
        <f t="shared" si="249"/>
        <v>12.190031744930776</v>
      </c>
      <c r="BH221" s="43">
        <f t="shared" si="250"/>
        <v>70.918992660553755</v>
      </c>
      <c r="BI221" s="41" t="str">
        <f t="shared" si="203"/>
        <v>3,9381338159677+12,2584268614296i</v>
      </c>
      <c r="BJ221" s="20">
        <f t="shared" si="251"/>
        <v>22.19526704802437</v>
      </c>
      <c r="BK221" s="43">
        <f t="shared" si="204"/>
        <v>72.189901093664744</v>
      </c>
      <c r="BL221">
        <f t="shared" si="252"/>
        <v>12.190031744930776</v>
      </c>
      <c r="BM221" s="43">
        <f t="shared" si="253"/>
        <v>70.918992660553755</v>
      </c>
    </row>
    <row r="222" spans="14:65" x14ac:dyDescent="0.25">
      <c r="N222" s="9">
        <v>4</v>
      </c>
      <c r="O222" s="34">
        <f t="shared" si="254"/>
        <v>1096.4781961431863</v>
      </c>
      <c r="P222" s="33" t="str">
        <f t="shared" si="206"/>
        <v>54,631621870174</v>
      </c>
      <c r="Q222" s="4" t="str">
        <f t="shared" si="207"/>
        <v>1+54,9169379246338i</v>
      </c>
      <c r="R222" s="4">
        <f t="shared" si="219"/>
        <v>54.926041829154975</v>
      </c>
      <c r="S222" s="4">
        <f t="shared" si="220"/>
        <v>1.5525890207551414</v>
      </c>
      <c r="T222" s="4" t="str">
        <f t="shared" si="208"/>
        <v>1+0,137787513832993i</v>
      </c>
      <c r="U222" s="4">
        <f t="shared" si="221"/>
        <v>1.0094480665038086</v>
      </c>
      <c r="V222" s="4">
        <f t="shared" si="222"/>
        <v>0.13692533042398056</v>
      </c>
      <c r="W222" t="str">
        <f t="shared" si="209"/>
        <v>1-0,0274151602936305i</v>
      </c>
      <c r="X222" s="4">
        <f t="shared" si="223"/>
        <v>1.0003757249223542</v>
      </c>
      <c r="Y222" s="4">
        <f t="shared" si="224"/>
        <v>-2.7408295059899456E-2</v>
      </c>
      <c r="Z222" t="str">
        <f t="shared" si="210"/>
        <v>0,999995190942262+0,00376662128935985i</v>
      </c>
      <c r="AA222" s="4">
        <f t="shared" si="225"/>
        <v>1.0000022846691845</v>
      </c>
      <c r="AB222" s="4">
        <f t="shared" si="226"/>
        <v>3.7666215903414458E-3</v>
      </c>
      <c r="AC222" s="47" t="str">
        <f t="shared" si="227"/>
        <v>0,124186028619658-0,996705291729243i</v>
      </c>
      <c r="AD222" s="20">
        <f t="shared" si="228"/>
        <v>3.8238467804266957E-2</v>
      </c>
      <c r="AE222" s="43">
        <f t="shared" si="229"/>
        <v>-82.897745816621565</v>
      </c>
      <c r="AF222" t="str">
        <f t="shared" si="211"/>
        <v>171,265703090588</v>
      </c>
      <c r="AG222" t="str">
        <f t="shared" si="212"/>
        <v>1+54,3913818711401i</v>
      </c>
      <c r="AH222">
        <f t="shared" si="230"/>
        <v>54.400573727233684</v>
      </c>
      <c r="AI222">
        <f t="shared" si="231"/>
        <v>1.5524131323294332</v>
      </c>
      <c r="AJ222" t="str">
        <f t="shared" si="213"/>
        <v>1+0,137787513832993i</v>
      </c>
      <c r="AK222">
        <f t="shared" si="232"/>
        <v>1.0094480665038086</v>
      </c>
      <c r="AL222">
        <f t="shared" si="233"/>
        <v>0.13692533042398056</v>
      </c>
      <c r="AM222" t="str">
        <f t="shared" si="214"/>
        <v>1-0,00866139620074865i</v>
      </c>
      <c r="AN222">
        <f t="shared" si="234"/>
        <v>1.0000375091886036</v>
      </c>
      <c r="AO222">
        <f t="shared" si="235"/>
        <v>-8.6611796184728786E-3</v>
      </c>
      <c r="AP222" s="41" t="str">
        <f t="shared" si="236"/>
        <v>0,464390860769591-3,14398532194196i</v>
      </c>
      <c r="AQ222">
        <f t="shared" si="237"/>
        <v>10.0433438419702</v>
      </c>
      <c r="AR222" s="43">
        <f t="shared" si="238"/>
        <v>-81.597726039175598</v>
      </c>
      <c r="AS222" t="str">
        <f t="shared" si="215"/>
        <v>-0,0000166666666666667</v>
      </c>
      <c r="AT222" t="str">
        <f t="shared" si="216"/>
        <v>0,0000104856298026908i</v>
      </c>
      <c r="AU222">
        <f t="shared" si="239"/>
        <v>1.0485629802690801E-5</v>
      </c>
      <c r="AV222">
        <f t="shared" si="240"/>
        <v>1.5707963267948966</v>
      </c>
      <c r="AW222" t="str">
        <f t="shared" si="217"/>
        <v>1+0,0328625936408518i</v>
      </c>
      <c r="AX222">
        <f t="shared" si="241"/>
        <v>1.0005398293225531</v>
      </c>
      <c r="AY222">
        <f t="shared" si="242"/>
        <v>3.2850771313753691E-2</v>
      </c>
      <c r="AZ222" t="str">
        <f t="shared" si="218"/>
        <v>1+2,27349397824438i</v>
      </c>
      <c r="BA222">
        <f t="shared" si="243"/>
        <v>2.483701847870122</v>
      </c>
      <c r="BB222">
        <f t="shared" si="244"/>
        <v>1.1564137754732149</v>
      </c>
      <c r="BC222" s="41" t="str">
        <f t="shared" si="245"/>
        <v>-3,55758987479666+1,70638856027887i</v>
      </c>
      <c r="BD222">
        <f t="shared" si="246"/>
        <v>11.922386152243158</v>
      </c>
      <c r="BE222" s="43">
        <f t="shared" si="247"/>
        <v>154.37541815537693</v>
      </c>
      <c r="BF222" s="41" t="str">
        <f t="shared" si="248"/>
        <v>1,25896354976769+3,75777827259525i</v>
      </c>
      <c r="BG222" s="20">
        <f t="shared" si="249"/>
        <v>11.960624620047417</v>
      </c>
      <c r="BH222" s="43">
        <f t="shared" si="250"/>
        <v>71.47767233875534</v>
      </c>
      <c r="BI222" s="41" t="str">
        <f t="shared" si="203"/>
        <v>3,71274836282444+11,9774416001653i</v>
      </c>
      <c r="BJ222" s="20">
        <f t="shared" si="251"/>
        <v>21.965729994213344</v>
      </c>
      <c r="BK222" s="43">
        <f t="shared" si="204"/>
        <v>72.77769211620128</v>
      </c>
      <c r="BL222">
        <f t="shared" si="252"/>
        <v>11.960624620047417</v>
      </c>
      <c r="BM222" s="43">
        <f t="shared" si="253"/>
        <v>71.47767233875534</v>
      </c>
    </row>
    <row r="223" spans="14:65" x14ac:dyDescent="0.25">
      <c r="N223" s="9">
        <v>5</v>
      </c>
      <c r="O223" s="34">
        <f t="shared" si="254"/>
        <v>1122.0184543019636</v>
      </c>
      <c r="P223" s="33" t="str">
        <f t="shared" si="206"/>
        <v>54,631621870174</v>
      </c>
      <c r="Q223" s="4" t="str">
        <f t="shared" si="207"/>
        <v>1+56,1961177357949i</v>
      </c>
      <c r="R223" s="4">
        <f t="shared" si="219"/>
        <v>56.205014443333454</v>
      </c>
      <c r="S223" s="4">
        <f t="shared" si="220"/>
        <v>1.5530033811534305</v>
      </c>
      <c r="T223" s="4" t="str">
        <f t="shared" si="208"/>
        <v>1+0,140996997329089i</v>
      </c>
      <c r="U223" s="4">
        <f t="shared" si="221"/>
        <v>1.0098911591136042</v>
      </c>
      <c r="V223" s="4">
        <f t="shared" si="222"/>
        <v>0.14007363915247104</v>
      </c>
      <c r="W223" t="str">
        <f t="shared" si="209"/>
        <v>1-0,0280537414107257i</v>
      </c>
      <c r="X223" s="4">
        <f t="shared" si="223"/>
        <v>1.0003934288104555</v>
      </c>
      <c r="Y223" s="4">
        <f t="shared" si="224"/>
        <v>-2.8046385336487435E-2</v>
      </c>
      <c r="Z223" t="str">
        <f t="shared" si="210"/>
        <v>0,999994964298353+0,00385435716997743i</v>
      </c>
      <c r="AA223" s="4">
        <f t="shared" si="225"/>
        <v>1.0000023923427672</v>
      </c>
      <c r="AB223" s="4">
        <f t="shared" si="226"/>
        <v>3.8543574924841E-3</v>
      </c>
      <c r="AC223" s="47" t="str">
        <f t="shared" si="227"/>
        <v>0,123372128412752-0,974223677037284i</v>
      </c>
      <c r="AD223" s="20">
        <f t="shared" si="228"/>
        <v>-0.1577321664951907</v>
      </c>
      <c r="AE223" s="43">
        <f t="shared" si="229"/>
        <v>-82.78268889259553</v>
      </c>
      <c r="AF223" t="str">
        <f t="shared" si="211"/>
        <v>171,265703090588</v>
      </c>
      <c r="AG223" t="str">
        <f t="shared" si="212"/>
        <v>1+55,6583199092041i</v>
      </c>
      <c r="AH223">
        <f t="shared" si="230"/>
        <v>55.667302567263903</v>
      </c>
      <c r="AI223">
        <f t="shared" si="231"/>
        <v>1.5528314938479295</v>
      </c>
      <c r="AJ223" t="str">
        <f t="shared" si="213"/>
        <v>1+0,140996997329089i</v>
      </c>
      <c r="AK223">
        <f t="shared" si="232"/>
        <v>1.0098911591136042</v>
      </c>
      <c r="AL223">
        <f t="shared" si="233"/>
        <v>0.14007363915247104</v>
      </c>
      <c r="AM223" t="str">
        <f t="shared" si="214"/>
        <v>1-0,00886314603559324i</v>
      </c>
      <c r="AN223">
        <f t="shared" si="234"/>
        <v>1.0000392769074864</v>
      </c>
      <c r="AO223">
        <f t="shared" si="235"/>
        <v>-8.8629139639958519E-3</v>
      </c>
      <c r="AP223" s="41" t="str">
        <f t="shared" si="236"/>
        <v>0,461793245024433-3,07263921963158i</v>
      </c>
      <c r="AQ223">
        <f t="shared" si="237"/>
        <v>9.8472370393470285</v>
      </c>
      <c r="AR223" s="43">
        <f t="shared" si="238"/>
        <v>-81.452870112330729</v>
      </c>
      <c r="AS223" t="str">
        <f t="shared" si="215"/>
        <v>-0,0000166666666666667</v>
      </c>
      <c r="AT223" t="str">
        <f t="shared" si="216"/>
        <v>0,0000107298714967437i</v>
      </c>
      <c r="AU223">
        <f t="shared" si="239"/>
        <v>1.0729871496743699E-5</v>
      </c>
      <c r="AV223">
        <f t="shared" si="240"/>
        <v>1.5707963267948966</v>
      </c>
      <c r="AW223" t="str">
        <f t="shared" si="217"/>
        <v>1+0,0336280617808537i</v>
      </c>
      <c r="AX223">
        <f t="shared" si="241"/>
        <v>1.0005652635081517</v>
      </c>
      <c r="AY223">
        <f t="shared" si="242"/>
        <v>3.3615394315624804E-2</v>
      </c>
      <c r="AZ223" t="str">
        <f t="shared" si="218"/>
        <v>1+2,32645045592997i</v>
      </c>
      <c r="BA223">
        <f t="shared" si="243"/>
        <v>2.5322661242248543</v>
      </c>
      <c r="BB223">
        <f t="shared" si="244"/>
        <v>1.1648338399499312</v>
      </c>
      <c r="BC223" s="41" t="str">
        <f t="shared" si="245"/>
        <v>-3,55740901053042+1,67292478771775i</v>
      </c>
      <c r="BD223">
        <f t="shared" si="246"/>
        <v>11.890363050927473</v>
      </c>
      <c r="BE223" s="43">
        <f t="shared" si="247"/>
        <v>154.81404264219495</v>
      </c>
      <c r="BF223" s="41" t="str">
        <f t="shared" si="248"/>
        <v>1,19091781683336+3,6721043786997i</v>
      </c>
      <c r="BG223" s="20">
        <f t="shared" si="249"/>
        <v>11.732630884432275</v>
      </c>
      <c r="BH223" s="43">
        <f t="shared" si="250"/>
        <v>72.031353749599461</v>
      </c>
      <c r="BI223" s="41" t="str">
        <f t="shared" si="203"/>
        <v>3,49750686338339+11,7031798124285i</v>
      </c>
      <c r="BJ223" s="20">
        <f t="shared" si="251"/>
        <v>21.737600090274476</v>
      </c>
      <c r="BK223" s="43">
        <f t="shared" si="204"/>
        <v>73.361172529864191</v>
      </c>
      <c r="BL223">
        <f t="shared" si="252"/>
        <v>11.732630884432275</v>
      </c>
      <c r="BM223" s="43">
        <f t="shared" si="253"/>
        <v>72.031353749599461</v>
      </c>
    </row>
    <row r="224" spans="14:65" x14ac:dyDescent="0.25">
      <c r="N224" s="9">
        <v>6</v>
      </c>
      <c r="O224" s="34">
        <f t="shared" si="254"/>
        <v>1148.1536214968839</v>
      </c>
      <c r="P224" s="33" t="str">
        <f t="shared" si="206"/>
        <v>54,631621870174</v>
      </c>
      <c r="Q224" s="4" t="str">
        <f t="shared" si="207"/>
        <v>1+57,5050934724231i</v>
      </c>
      <c r="R224" s="4">
        <f t="shared" si="219"/>
        <v>57.513787697143698</v>
      </c>
      <c r="S224" s="4">
        <f t="shared" si="220"/>
        <v>1.553408315462149</v>
      </c>
      <c r="T224" s="4" t="str">
        <f t="shared" si="208"/>
        <v>1+0,144281239299485i</v>
      </c>
      <c r="U224" s="4">
        <f t="shared" si="221"/>
        <v>1.0103549257631179</v>
      </c>
      <c r="V224" s="4">
        <f t="shared" si="222"/>
        <v>0.14329239001901545</v>
      </c>
      <c r="W224" t="str">
        <f t="shared" si="209"/>
        <v>1-0,028707196992852i</v>
      </c>
      <c r="X224" s="4">
        <f t="shared" si="223"/>
        <v>1.0004119667213034</v>
      </c>
      <c r="Y224" s="4">
        <f t="shared" si="224"/>
        <v>-2.8699314992589479E-2</v>
      </c>
      <c r="Z224" t="str">
        <f t="shared" si="210"/>
        <v>0,999994726973046+0,00394413668178499i</v>
      </c>
      <c r="AA224" s="4">
        <f t="shared" si="225"/>
        <v>1.0000025050908929</v>
      </c>
      <c r="AB224" s="4">
        <f t="shared" si="226"/>
        <v>3.9441370273560787E-3</v>
      </c>
      <c r="AC224" s="47" t="str">
        <f t="shared" si="227"/>
        <v>0,122594771238454-0,952257305955375i</v>
      </c>
      <c r="AD224" s="20">
        <f t="shared" si="228"/>
        <v>-0.35352245974264573</v>
      </c>
      <c r="AE224" s="43">
        <f t="shared" si="229"/>
        <v>-82.664023181556487</v>
      </c>
      <c r="AF224" t="str">
        <f t="shared" si="211"/>
        <v>171,265703090588</v>
      </c>
      <c r="AG224" t="str">
        <f t="shared" si="212"/>
        <v>1+56,954768725209i</v>
      </c>
      <c r="AH224">
        <f t="shared" si="230"/>
        <v>56.963546944884364</v>
      </c>
      <c r="AI224">
        <f t="shared" si="231"/>
        <v>1.5532403383729847</v>
      </c>
      <c r="AJ224" t="str">
        <f t="shared" si="213"/>
        <v>1+0,144281239299485i</v>
      </c>
      <c r="AK224">
        <f t="shared" si="232"/>
        <v>1.0103549257631179</v>
      </c>
      <c r="AL224">
        <f t="shared" si="233"/>
        <v>0.14329239001901545</v>
      </c>
      <c r="AM224" t="str">
        <f t="shared" si="214"/>
        <v>1-0,00906959522778352i</v>
      </c>
      <c r="AN224">
        <f t="shared" si="234"/>
        <v>1.0000411279330446</v>
      </c>
      <c r="AO224">
        <f t="shared" si="235"/>
        <v>-9.0693465591390552E-3</v>
      </c>
      <c r="AP224" s="41" t="str">
        <f t="shared" si="236"/>
        <v>0,45931246748832-3,00291807042804i</v>
      </c>
      <c r="AQ224">
        <f t="shared" si="237"/>
        <v>9.6513040502877594</v>
      </c>
      <c r="AR224" s="43">
        <f t="shared" si="238"/>
        <v>-81.303702054591952</v>
      </c>
      <c r="AS224" t="str">
        <f t="shared" si="215"/>
        <v>-0,0000166666666666667</v>
      </c>
      <c r="AT224" t="str">
        <f t="shared" si="216"/>
        <v>0,0000109798023106908i</v>
      </c>
      <c r="AU224">
        <f t="shared" si="239"/>
        <v>1.0979802310690801E-5</v>
      </c>
      <c r="AV224">
        <f t="shared" si="240"/>
        <v>1.5707963267948966</v>
      </c>
      <c r="AW224" t="str">
        <f t="shared" si="217"/>
        <v>1+0,0344113599643318i</v>
      </c>
      <c r="AX224">
        <f t="shared" si="241"/>
        <v>1.0005918956770512</v>
      </c>
      <c r="AY224">
        <f t="shared" si="242"/>
        <v>3.439778696440679E-2</v>
      </c>
      <c r="AZ224" t="str">
        <f t="shared" si="218"/>
        <v>1+2,3806404484415i</v>
      </c>
      <c r="BA224">
        <f t="shared" si="243"/>
        <v>2.5821403805284766</v>
      </c>
      <c r="BB224">
        <f t="shared" si="244"/>
        <v>1.1731215560960446</v>
      </c>
      <c r="BC224" s="41" t="str">
        <f t="shared" si="245"/>
        <v>-3,55721964210324+1,64034744926663i</v>
      </c>
      <c r="BD224">
        <f t="shared" si="246"/>
        <v>11.859541944987422</v>
      </c>
      <c r="BE224" s="43">
        <f t="shared" si="247"/>
        <v>155.24406600247241</v>
      </c>
      <c r="BF224" s="41" t="str">
        <f t="shared" si="248"/>
        <v>1,12593631460083+3,5884864133752i</v>
      </c>
      <c r="BG224" s="20">
        <f t="shared" si="249"/>
        <v>11.506019485244778</v>
      </c>
      <c r="BH224" s="43">
        <f t="shared" si="250"/>
        <v>72.580042820915949</v>
      </c>
      <c r="BI224" s="41" t="str">
        <f t="shared" si="203"/>
        <v>3,29195366597095+11,4354711782142i</v>
      </c>
      <c r="BJ224" s="20">
        <f t="shared" si="251"/>
        <v>21.510845995275176</v>
      </c>
      <c r="BK224" s="43">
        <f t="shared" si="204"/>
        <v>73.940363947880456</v>
      </c>
      <c r="BL224">
        <f t="shared" si="252"/>
        <v>11.506019485244778</v>
      </c>
      <c r="BM224" s="43">
        <f t="shared" si="253"/>
        <v>72.580042820915949</v>
      </c>
    </row>
    <row r="225" spans="14:65" x14ac:dyDescent="0.25">
      <c r="N225" s="9">
        <v>7</v>
      </c>
      <c r="O225" s="34">
        <f t="shared" si="254"/>
        <v>1174.8975549395295</v>
      </c>
      <c r="P225" s="33" t="str">
        <f t="shared" si="206"/>
        <v>54,631621870174</v>
      </c>
      <c r="Q225" s="4" t="str">
        <f t="shared" si="207"/>
        <v>1+58,8445591707803i</v>
      </c>
      <c r="R225" s="4">
        <f t="shared" si="219"/>
        <v>58.853055519687878</v>
      </c>
      <c r="S225" s="4">
        <f t="shared" si="220"/>
        <v>1.55380403785134</v>
      </c>
      <c r="T225" s="4" t="str">
        <f t="shared" si="208"/>
        <v>1+0,147641981092745i</v>
      </c>
      <c r="U225" s="4">
        <f t="shared" si="221"/>
        <v>1.0108403210106878</v>
      </c>
      <c r="V225" s="4">
        <f t="shared" si="222"/>
        <v>0.14658302272922588</v>
      </c>
      <c r="W225" t="str">
        <f t="shared" si="209"/>
        <v>1-0,0293758735108086i</v>
      </c>
      <c r="X225" s="4">
        <f t="shared" si="223"/>
        <v>1.0004313779288028</v>
      </c>
      <c r="Y225" s="4">
        <f t="shared" si="224"/>
        <v>-2.9367427992036479E-2</v>
      </c>
      <c r="Z225" t="str">
        <f t="shared" si="210"/>
        <v>0,999994478462942+0,00403600742706804i</v>
      </c>
      <c r="AA225" s="4">
        <f t="shared" si="225"/>
        <v>1.000002623152721</v>
      </c>
      <c r="AB225" s="4">
        <f t="shared" si="226"/>
        <v>4.036007797352973E-3</v>
      </c>
      <c r="AC225" s="47" t="str">
        <f t="shared" si="227"/>
        <v>0,1218523112776-0,930794618495696i</v>
      </c>
      <c r="AD225" s="20">
        <f t="shared" si="228"/>
        <v>-0.54912398320454658</v>
      </c>
      <c r="AE225" s="43">
        <f t="shared" si="229"/>
        <v>-82.541700900580778</v>
      </c>
      <c r="AF225" t="str">
        <f t="shared" si="211"/>
        <v>171,265703090588</v>
      </c>
      <c r="AG225" t="str">
        <f t="shared" si="212"/>
        <v>1+58,2814157134773i</v>
      </c>
      <c r="AH225">
        <f t="shared" si="230"/>
        <v>58.289994146226839</v>
      </c>
      <c r="AI225">
        <f t="shared" si="231"/>
        <v>1.5536398821323441</v>
      </c>
      <c r="AJ225" t="str">
        <f t="shared" si="213"/>
        <v>1+0,147641981092745i</v>
      </c>
      <c r="AK225">
        <f t="shared" si="232"/>
        <v>1.0108403210106878</v>
      </c>
      <c r="AL225">
        <f t="shared" si="233"/>
        <v>0.14658302272922588</v>
      </c>
      <c r="AM225" t="str">
        <f t="shared" si="214"/>
        <v>1-0,00928085323941383i</v>
      </c>
      <c r="AN225">
        <f t="shared" si="234"/>
        <v>1.0000430661910773</v>
      </c>
      <c r="AO225">
        <f t="shared" si="235"/>
        <v>-9.2805867867804086E-3</v>
      </c>
      <c r="AP225" s="41" t="str">
        <f t="shared" si="236"/>
        <v>0,456943276062596-2,93478518747485i</v>
      </c>
      <c r="AQ225">
        <f t="shared" si="237"/>
        <v>9.4555530016607321</v>
      </c>
      <c r="AR225" s="43">
        <f t="shared" si="238"/>
        <v>-81.150158033018528</v>
      </c>
      <c r="AS225" t="str">
        <f t="shared" si="215"/>
        <v>-0,0000166666666666667</v>
      </c>
      <c r="AT225" t="str">
        <f t="shared" si="216"/>
        <v>0,0000112355547611579i</v>
      </c>
      <c r="AU225">
        <f t="shared" si="239"/>
        <v>1.12355547611579E-5</v>
      </c>
      <c r="AV225">
        <f t="shared" si="240"/>
        <v>1.5707963267948966</v>
      </c>
      <c r="AW225" t="str">
        <f t="shared" si="217"/>
        <v>1+0,0352129035063512i</v>
      </c>
      <c r="AX225">
        <f t="shared" si="241"/>
        <v>1.0006197822216727</v>
      </c>
      <c r="AY225">
        <f t="shared" si="242"/>
        <v>3.5198360261389054E-2</v>
      </c>
      <c r="AZ225" t="str">
        <f t="shared" si="218"/>
        <v>1+2,4360926880303i</v>
      </c>
      <c r="BA225">
        <f t="shared" si="243"/>
        <v>2.6333529168485366</v>
      </c>
      <c r="BB225">
        <f t="shared" si="244"/>
        <v>1.1812767631004994</v>
      </c>
      <c r="BC225" s="41" t="str">
        <f t="shared" si="245"/>
        <v>-3,55702137062442+1,60863923112439i</v>
      </c>
      <c r="BD225">
        <f t="shared" si="246"/>
        <v>11.829884210270832</v>
      </c>
      <c r="BE225" s="43">
        <f t="shared" si="247"/>
        <v>155.66545547377524</v>
      </c>
      <c r="BF225" s="41" t="str">
        <f t="shared" si="248"/>
        <v>1,06388146415723+3,50687275797572i</v>
      </c>
      <c r="BG225" s="20">
        <f t="shared" si="249"/>
        <v>11.280760227066274</v>
      </c>
      <c r="BH225" s="43">
        <f t="shared" si="250"/>
        <v>73.123754573194532</v>
      </c>
      <c r="BI225" s="41" t="str">
        <f t="shared" si="203"/>
        <v>3,095653589377+11,1741505103128i</v>
      </c>
      <c r="BJ225" s="20">
        <f t="shared" si="251"/>
        <v>21.285437211931541</v>
      </c>
      <c r="BK225" s="43">
        <f t="shared" si="204"/>
        <v>74.515297440756697</v>
      </c>
      <c r="BL225">
        <f t="shared" si="252"/>
        <v>11.280760227066274</v>
      </c>
      <c r="BM225" s="43">
        <f t="shared" si="253"/>
        <v>73.123754573194532</v>
      </c>
    </row>
    <row r="226" spans="14:65" x14ac:dyDescent="0.25">
      <c r="N226" s="9">
        <v>8</v>
      </c>
      <c r="O226" s="34">
        <f t="shared" si="254"/>
        <v>1202.2644346174138</v>
      </c>
      <c r="P226" s="33" t="str">
        <f t="shared" si="206"/>
        <v>54,631621870174</v>
      </c>
      <c r="Q226" s="4" t="str">
        <f t="shared" si="207"/>
        <v>1+60,2152250333097i</v>
      </c>
      <c r="R226" s="4">
        <f t="shared" si="219"/>
        <v>60.223528008678862</v>
      </c>
      <c r="S226" s="4">
        <f t="shared" si="220"/>
        <v>1.5541907576422191</v>
      </c>
      <c r="T226" s="4" t="str">
        <f t="shared" si="208"/>
        <v>1+0,151081004618654i</v>
      </c>
      <c r="U226" s="4">
        <f t="shared" si="221"/>
        <v>1.0113483425390986</v>
      </c>
      <c r="V226" s="4">
        <f t="shared" si="222"/>
        <v>0.14994699681709764</v>
      </c>
      <c r="W226" t="str">
        <f t="shared" si="209"/>
        <v>1-0,0300601255057363i</v>
      </c>
      <c r="X226" s="4">
        <f t="shared" si="223"/>
        <v>1.0004517035546596</v>
      </c>
      <c r="Y226" s="4">
        <f t="shared" si="224"/>
        <v>-3.0051076189987501E-2</v>
      </c>
      <c r="Z226" t="str">
        <f t="shared" si="210"/>
        <v>0,999994218240917+0,00413001811691181i</v>
      </c>
      <c r="AA226" s="4">
        <f t="shared" si="225"/>
        <v>1.0000027467786821</v>
      </c>
      <c r="AB226" s="4">
        <f t="shared" si="226"/>
        <v>4.1300185136779639E-3</v>
      </c>
      <c r="AC226" s="47" t="str">
        <f t="shared" si="227"/>
        <v>0,121143176463644-0,909824315935741i</v>
      </c>
      <c r="AD226" s="20">
        <f t="shared" si="228"/>
        <v>-0.74452795464774513</v>
      </c>
      <c r="AE226" s="43">
        <f t="shared" si="229"/>
        <v>-82.415673368514646</v>
      </c>
      <c r="AF226" t="str">
        <f t="shared" si="211"/>
        <v>171,265703090588</v>
      </c>
      <c r="AG226" t="str">
        <f t="shared" si="212"/>
        <v>1+59,6389642798029i</v>
      </c>
      <c r="AH226">
        <f t="shared" si="230"/>
        <v>59.647347471347004</v>
      </c>
      <c r="AI226">
        <f t="shared" si="231"/>
        <v>1.5540303364588548</v>
      </c>
      <c r="AJ226" t="str">
        <f t="shared" si="213"/>
        <v>1+0,151081004618654i</v>
      </c>
      <c r="AK226">
        <f t="shared" si="232"/>
        <v>1.0113483425390986</v>
      </c>
      <c r="AL226">
        <f t="shared" si="233"/>
        <v>0.14994699681709764</v>
      </c>
      <c r="AM226" t="str">
        <f t="shared" si="214"/>
        <v>1-0,00949703208227833i</v>
      </c>
      <c r="AN226">
        <f t="shared" si="234"/>
        <v>1.0000450957923708</v>
      </c>
      <c r="AO226">
        <f t="shared" si="235"/>
        <v>-9.4967465738330301E-3</v>
      </c>
      <c r="AP226" s="41" t="str">
        <f t="shared" si="236"/>
        <v>0,454680654461574-2,86820470735032i</v>
      </c>
      <c r="AQ226">
        <f t="shared" si="237"/>
        <v>9.259992359426656</v>
      </c>
      <c r="AR226" s="43">
        <f t="shared" si="238"/>
        <v>-80.992172943892342</v>
      </c>
      <c r="AS226" t="str">
        <f t="shared" si="215"/>
        <v>-0,0000166666666666667</v>
      </c>
      <c r="AT226" t="str">
        <f t="shared" si="216"/>
        <v>0,0000114972644514796i</v>
      </c>
      <c r="AU226">
        <f t="shared" si="239"/>
        <v>1.14972644514796E-5</v>
      </c>
      <c r="AV226">
        <f t="shared" si="240"/>
        <v>1.5707963267948966</v>
      </c>
      <c r="AW226" t="str">
        <f t="shared" si="217"/>
        <v>1+0,0360331173959077i</v>
      </c>
      <c r="AX226">
        <f t="shared" si="241"/>
        <v>1.000648982185695</v>
      </c>
      <c r="AY226">
        <f t="shared" si="242"/>
        <v>3.6017534573973407E-2</v>
      </c>
      <c r="AZ226" t="str">
        <f t="shared" si="218"/>
        <v>1+2,49283657620779i</v>
      </c>
      <c r="BA226">
        <f t="shared" si="243"/>
        <v>2.6859326491331417</v>
      </c>
      <c r="BB226">
        <f t="shared" si="244"/>
        <v>1.1892994448599024</v>
      </c>
      <c r="BC226" s="41" t="str">
        <f t="shared" si="245"/>
        <v>-3,55681377858672+1,57778327739831i</v>
      </c>
      <c r="BD226">
        <f t="shared" si="246"/>
        <v>11.801351784319351</v>
      </c>
      <c r="BE226" s="43">
        <f t="shared" si="247"/>
        <v>156.0781860481689</v>
      </c>
      <c r="BF226" s="41" t="str">
        <f t="shared" si="248"/>
        <v>1,00462187182612+3,42721334100873i</v>
      </c>
      <c r="BG226" s="20">
        <f t="shared" si="249"/>
        <v>11.056823829671609</v>
      </c>
      <c r="BH226" s="43">
        <f t="shared" si="250"/>
        <v>73.662512679654228</v>
      </c>
      <c r="BI226" s="41" t="str">
        <f t="shared" si="203"/>
        <v>2,90819100676669+10,9190575560769i</v>
      </c>
      <c r="BJ226" s="20">
        <f t="shared" si="251"/>
        <v>21.061344143746009</v>
      </c>
      <c r="BK226" s="43">
        <f t="shared" si="204"/>
        <v>75.086013104276589</v>
      </c>
      <c r="BL226">
        <f t="shared" si="252"/>
        <v>11.056823829671609</v>
      </c>
      <c r="BM226" s="43">
        <f t="shared" si="253"/>
        <v>73.662512679654228</v>
      </c>
    </row>
    <row r="227" spans="14:65" x14ac:dyDescent="0.25">
      <c r="N227" s="9">
        <v>9</v>
      </c>
      <c r="O227" s="34">
        <f t="shared" si="254"/>
        <v>1230.2687708123824</v>
      </c>
      <c r="P227" s="33" t="str">
        <f t="shared" si="206"/>
        <v>54,631621870174</v>
      </c>
      <c r="Q227" s="4" t="str">
        <f t="shared" si="207"/>
        <v>1+61,6178178051945i</v>
      </c>
      <c r="R227" s="4">
        <f t="shared" si="219"/>
        <v>61.625931806944259</v>
      </c>
      <c r="S227" s="4">
        <f t="shared" si="220"/>
        <v>1.5545686794157947</v>
      </c>
      <c r="T227" s="4" t="str">
        <f t="shared" si="208"/>
        <v>1+0,154600133293005i</v>
      </c>
      <c r="U227" s="4">
        <f t="shared" si="221"/>
        <v>1.01188003301489</v>
      </c>
      <c r="V227" s="4">
        <f t="shared" si="222"/>
        <v>0.15338579120600168</v>
      </c>
      <c r="W227" t="str">
        <f t="shared" si="209"/>
        <v>1-0,0307603157770999i</v>
      </c>
      <c r="X227" s="4">
        <f t="shared" si="223"/>
        <v>1.0004729866551654</v>
      </c>
      <c r="Y227" s="4">
        <f t="shared" si="224"/>
        <v>-3.0750619508143819E-2</v>
      </c>
      <c r="Z227" t="str">
        <f t="shared" si="210"/>
        <v>0,999993945755006+0,00422621859702841i</v>
      </c>
      <c r="AA227" s="4">
        <f t="shared" si="225"/>
        <v>1.0000028762310116</v>
      </c>
      <c r="AB227" s="4">
        <f t="shared" si="226"/>
        <v>4.2262190221695438E-3</v>
      </c>
      <c r="AC227" s="47" t="str">
        <f t="shared" si="227"/>
        <v>0,120465865171748-0,889335355213607i</v>
      </c>
      <c r="AD227" s="20">
        <f t="shared" si="228"/>
        <v>-0.93972522404130165</v>
      </c>
      <c r="AE227" s="43">
        <f t="shared" si="229"/>
        <v>-82.285891048869672</v>
      </c>
      <c r="AF227" t="str">
        <f t="shared" si="211"/>
        <v>171,265703090588</v>
      </c>
      <c r="AG227" t="str">
        <f t="shared" si="212"/>
        <v>1+61,0281342144045i</v>
      </c>
      <c r="AH227">
        <f t="shared" si="230"/>
        <v>61.036326607122824</v>
      </c>
      <c r="AI227">
        <f t="shared" si="231"/>
        <v>1.5544119079000835</v>
      </c>
      <c r="AJ227" t="str">
        <f t="shared" si="213"/>
        <v>1+0,154600133293005i</v>
      </c>
      <c r="AK227">
        <f t="shared" si="232"/>
        <v>1.01188003301489</v>
      </c>
      <c r="AL227">
        <f t="shared" si="233"/>
        <v>0.15338579120600168</v>
      </c>
      <c r="AM227" t="str">
        <f t="shared" si="214"/>
        <v>1-0,0097182463772609i</v>
      </c>
      <c r="AN227">
        <f t="shared" si="234"/>
        <v>1.0000472210414113</v>
      </c>
      <c r="AO227">
        <f t="shared" si="235"/>
        <v>-9.717940450230134E-3</v>
      </c>
      <c r="AP227" s="41" t="str">
        <f t="shared" si="236"/>
        <v>0,452519811649351-2,80314157229763i</v>
      </c>
      <c r="AQ227">
        <f t="shared" si="237"/>
        <v>9.0646309422741052</v>
      </c>
      <c r="AR227" s="43">
        <f t="shared" si="238"/>
        <v>-80.8296804475317</v>
      </c>
      <c r="AS227" t="str">
        <f t="shared" si="215"/>
        <v>-0,0000166666666666667</v>
      </c>
      <c r="AT227" t="str">
        <f t="shared" si="216"/>
        <v>0,0000117650701435977i</v>
      </c>
      <c r="AU227">
        <f t="shared" si="239"/>
        <v>1.17650701435977E-5</v>
      </c>
      <c r="AV227">
        <f t="shared" si="240"/>
        <v>1.5707963267948966</v>
      </c>
      <c r="AW227" t="str">
        <f t="shared" si="217"/>
        <v>1+0,036872436521262i</v>
      </c>
      <c r="AX227">
        <f t="shared" si="241"/>
        <v>1.0006795573883851</v>
      </c>
      <c r="AY227">
        <f t="shared" si="242"/>
        <v>3.6855739839078597E-2</v>
      </c>
      <c r="AZ227" t="str">
        <f t="shared" si="218"/>
        <v>1+2,55090219933458i</v>
      </c>
      <c r="BA227">
        <f t="shared" si="243"/>
        <v>2.7399091281591801</v>
      </c>
      <c r="BB227">
        <f t="shared" si="244"/>
        <v>1.1971897231251947</v>
      </c>
      <c r="BC227" s="41" t="str">
        <f t="shared" si="245"/>
        <v>-3,55659642900662+1,54776318096013i</v>
      </c>
      <c r="BD227">
        <f t="shared" si="246"/>
        <v>11.773907205574226</v>
      </c>
      <c r="BE227" s="43">
        <f t="shared" si="247"/>
        <v>156.48224006789786</v>
      </c>
      <c r="BF227" s="41" t="str">
        <f t="shared" si="248"/>
        <v>0,948032052438688+3,34945957921739i</v>
      </c>
      <c r="BG227" s="20">
        <f t="shared" si="249"/>
        <v>10.834181981532932</v>
      </c>
      <c r="BH227" s="43">
        <f t="shared" si="250"/>
        <v>74.196349019028219</v>
      </c>
      <c r="BI227" s="41" t="str">
        <f t="shared" si="203"/>
        <v>2,72916897045413+10,6700368091596i</v>
      </c>
      <c r="BJ227" s="20">
        <f t="shared" si="251"/>
        <v>20.838538147848308</v>
      </c>
      <c r="BK227" s="43">
        <f t="shared" si="204"/>
        <v>75.652559620366148</v>
      </c>
      <c r="BL227">
        <f t="shared" si="252"/>
        <v>10.834181981532932</v>
      </c>
      <c r="BM227" s="43">
        <f t="shared" si="253"/>
        <v>74.196349019028219</v>
      </c>
    </row>
    <row r="228" spans="14:65" x14ac:dyDescent="0.25">
      <c r="N228" s="9">
        <v>10</v>
      </c>
      <c r="O228" s="34">
        <f t="shared" si="254"/>
        <v>1258.925411794168</v>
      </c>
      <c r="P228" s="33" t="str">
        <f t="shared" si="206"/>
        <v>54,631621870174</v>
      </c>
      <c r="Q228" s="4" t="str">
        <f t="shared" si="207"/>
        <v>1+63,0530811596878i</v>
      </c>
      <c r="R228" s="4">
        <f t="shared" si="219"/>
        <v>63.061010487702916</v>
      </c>
      <c r="S228" s="4">
        <f t="shared" si="220"/>
        <v>1.5549380031191322</v>
      </c>
      <c r="T228" s="4" t="str">
        <f t="shared" si="208"/>
        <v>1+0,158201233004403i</v>
      </c>
      <c r="U228" s="4">
        <f t="shared" si="221"/>
        <v>1.0124364820195455</v>
      </c>
      <c r="V228" s="4">
        <f t="shared" si="222"/>
        <v>0.15690090370420642</v>
      </c>
      <c r="W228" t="str">
        <f t="shared" si="209"/>
        <v>1-0,0314768155750495i</v>
      </c>
      <c r="X228" s="4">
        <f t="shared" si="223"/>
        <v>1.0004952723120413</v>
      </c>
      <c r="Y228" s="4">
        <f t="shared" si="224"/>
        <v>-3.1466426113432804E-2</v>
      </c>
      <c r="Z228" t="str">
        <f t="shared" si="210"/>
        <v>0,99999366042723+0,00432465987418577i</v>
      </c>
      <c r="AA228" s="4">
        <f t="shared" si="225"/>
        <v>1.0000030117843033</v>
      </c>
      <c r="AB228" s="4">
        <f t="shared" si="226"/>
        <v>4.3246603297310629E-3</v>
      </c>
      <c r="AC228" s="47" t="str">
        <f t="shared" si="227"/>
        <v>0,119818943055212-0,869316943433124i</v>
      </c>
      <c r="AD228" s="20">
        <f t="shared" si="228"/>
        <v>-1.1347062588676928</v>
      </c>
      <c r="AE228" s="43">
        <f t="shared" si="229"/>
        <v>-82.152303596567933</v>
      </c>
      <c r="AF228" t="str">
        <f t="shared" si="211"/>
        <v>171,265703090588</v>
      </c>
      <c r="AG228" t="str">
        <f t="shared" si="212"/>
        <v>1+62,4496620735694i</v>
      </c>
      <c r="AH228">
        <f t="shared" si="230"/>
        <v>62.457668008844301</v>
      </c>
      <c r="AI228">
        <f t="shared" si="231"/>
        <v>1.5547847983255596</v>
      </c>
      <c r="AJ228" t="str">
        <f t="shared" si="213"/>
        <v>1+0,158201233004403i</v>
      </c>
      <c r="AK228">
        <f t="shared" si="232"/>
        <v>1.0124364820195455</v>
      </c>
      <c r="AL228">
        <f t="shared" si="233"/>
        <v>0.15690090370420642</v>
      </c>
      <c r="AM228" t="str">
        <f t="shared" si="214"/>
        <v>1-0,00994461341510891i</v>
      </c>
      <c r="AN228">
        <f t="shared" si="234"/>
        <v>1.0000494464455125</v>
      </c>
      <c r="AO228">
        <f t="shared" si="235"/>
        <v>-9.9442856092648267E-3</v>
      </c>
      <c r="AP228" s="41" t="str">
        <f t="shared" si="236"/>
        <v>0,450456171747628-2,73956151279883i</v>
      </c>
      <c r="AQ228">
        <f t="shared" si="237"/>
        <v>8.8694779356133857</v>
      </c>
      <c r="AR228" s="43">
        <f t="shared" si="238"/>
        <v>-80.662613006797443</v>
      </c>
      <c r="AS228" t="str">
        <f t="shared" si="215"/>
        <v>-0,0000166666666666667</v>
      </c>
      <c r="AT228" t="str">
        <f t="shared" si="216"/>
        <v>0,000012039113831635i</v>
      </c>
      <c r="AU228">
        <f t="shared" si="239"/>
        <v>1.2039113831635E-5</v>
      </c>
      <c r="AV228">
        <f t="shared" si="240"/>
        <v>1.5707963267948966</v>
      </c>
      <c r="AW228" t="str">
        <f t="shared" si="217"/>
        <v>1+0,0377313059005244i</v>
      </c>
      <c r="AX228">
        <f t="shared" si="241"/>
        <v>1.0007115725547291</v>
      </c>
      <c r="AY228">
        <f t="shared" si="242"/>
        <v>3.7713415770237256E-2</v>
      </c>
      <c r="AZ228" t="str">
        <f t="shared" si="218"/>
        <v>1+2,61032034457264i</v>
      </c>
      <c r="BA228">
        <f t="shared" si="243"/>
        <v>2.7953125587829755</v>
      </c>
      <c r="BB228">
        <f t="shared" si="244"/>
        <v>1.2049478506243643</v>
      </c>
      <c r="BC228" s="41" t="str">
        <f t="shared" si="245"/>
        <v>-3,55636886452551+1,51856297452546i</v>
      </c>
      <c r="BD228">
        <f t="shared" si="246"/>
        <v>11.747513648064851</v>
      </c>
      <c r="BE228" s="43">
        <f t="shared" si="247"/>
        <v>156.87760681947935</v>
      </c>
      <c r="BF228" s="41" t="str">
        <f t="shared" si="248"/>
        <v>0,893992164963275+3,27356432160047i</v>
      </c>
      <c r="BG228" s="20">
        <f t="shared" si="249"/>
        <v>10.612807389197172</v>
      </c>
      <c r="BH228" s="43">
        <f t="shared" si="250"/>
        <v>74.725303222911464</v>
      </c>
      <c r="BI228" s="41" t="str">
        <f t="shared" si="203"/>
        <v>2,55820837573464+10,4269373306326i</v>
      </c>
      <c r="BJ228" s="20">
        <f t="shared" si="251"/>
        <v>20.616991583678242</v>
      </c>
      <c r="BK228" s="43">
        <f t="shared" si="204"/>
        <v>76.214993812681954</v>
      </c>
      <c r="BL228">
        <f t="shared" si="252"/>
        <v>10.612807389197172</v>
      </c>
      <c r="BM228" s="43">
        <f t="shared" si="253"/>
        <v>74.725303222911464</v>
      </c>
    </row>
    <row r="229" spans="14:65" x14ac:dyDescent="0.25">
      <c r="N229" s="9">
        <v>11</v>
      </c>
      <c r="O229" s="34">
        <f t="shared" si="254"/>
        <v>1288.2495516931347</v>
      </c>
      <c r="P229" s="33" t="str">
        <f t="shared" si="206"/>
        <v>54,631621870174</v>
      </c>
      <c r="Q229" s="4" t="str">
        <f t="shared" si="207"/>
        <v>1+64,5217760924181i</v>
      </c>
      <c r="R229" s="4">
        <f t="shared" si="219"/>
        <v>64.529524948818079</v>
      </c>
      <c r="S229" s="4">
        <f t="shared" si="220"/>
        <v>1.5552989241693105</v>
      </c>
      <c r="T229" s="4" t="str">
        <f t="shared" si="208"/>
        <v>1+0,16188621310358i</v>
      </c>
      <c r="U229" s="4">
        <f t="shared" si="221"/>
        <v>1.0130188280545518</v>
      </c>
      <c r="V229" s="4">
        <f t="shared" si="222"/>
        <v>0.16049385043046566</v>
      </c>
      <c r="W229" t="str">
        <f t="shared" si="209"/>
        <v>1-0,0322100047972618i</v>
      </c>
      <c r="X229" s="4">
        <f t="shared" si="223"/>
        <v>1.0005186077275323</v>
      </c>
      <c r="Y229" s="4">
        <f t="shared" si="224"/>
        <v>-3.2198872600198367E-2</v>
      </c>
      <c r="Z229" t="str">
        <f t="shared" si="210"/>
        <v>0,99999336165237+0,00442539414325206i</v>
      </c>
      <c r="AA229" s="4">
        <f t="shared" si="225"/>
        <v>1.0000031537260923</v>
      </c>
      <c r="AB229" s="4">
        <f t="shared" si="226"/>
        <v>4.4253946313757989E-3</v>
      </c>
      <c r="AC229" s="47" t="str">
        <f t="shared" si="227"/>
        <v>0,119201040022711-0,849758532477638i</v>
      </c>
      <c r="AD229" s="20">
        <f t="shared" si="228"/>
        <v>-1.3294611290457015</v>
      </c>
      <c r="AE229" s="43">
        <f t="shared" si="229"/>
        <v>-82.01485990879786</v>
      </c>
      <c r="AF229" t="str">
        <f t="shared" si="211"/>
        <v>171,265703090588</v>
      </c>
      <c r="AG229" t="str">
        <f t="shared" si="212"/>
        <v>1+63,9043015701847i</v>
      </c>
      <c r="AH229">
        <f t="shared" si="230"/>
        <v>63.912125290691989</v>
      </c>
      <c r="AI229">
        <f t="shared" si="231"/>
        <v>1.5551492050316891</v>
      </c>
      <c r="AJ229" t="str">
        <f t="shared" si="213"/>
        <v>1+0,16188621310358i</v>
      </c>
      <c r="AK229">
        <f t="shared" si="232"/>
        <v>1.0130188280545518</v>
      </c>
      <c r="AL229">
        <f t="shared" si="233"/>
        <v>0.16049385043046566</v>
      </c>
      <c r="AM229" t="str">
        <f t="shared" si="214"/>
        <v>1-0,0101762532186221i</v>
      </c>
      <c r="AN229">
        <f t="shared" si="234"/>
        <v>1.0000517767243702</v>
      </c>
      <c r="AO229">
        <f t="shared" si="235"/>
        <v>-1.0175901969313972E-2</v>
      </c>
      <c r="AP229" s="41" t="str">
        <f t="shared" si="236"/>
        <v>0,44848536439374-2,67743103048956i</v>
      </c>
      <c r="AQ229">
        <f t="shared" si="237"/>
        <v>8.6745429059264296</v>
      </c>
      <c r="AR229" s="43">
        <f t="shared" si="238"/>
        <v>-80.490901929551924</v>
      </c>
      <c r="AS229" t="str">
        <f t="shared" si="215"/>
        <v>-0,0000166666666666667</v>
      </c>
      <c r="AT229" t="str">
        <f t="shared" si="216"/>
        <v>0,0000123195408171824i</v>
      </c>
      <c r="AU229">
        <f t="shared" si="239"/>
        <v>1.2319540817182401E-5</v>
      </c>
      <c r="AV229">
        <f t="shared" si="240"/>
        <v>1.5707963267948966</v>
      </c>
      <c r="AW229" t="str">
        <f t="shared" si="217"/>
        <v>1+0,038610180917608i</v>
      </c>
      <c r="AX229">
        <f t="shared" si="241"/>
        <v>1.0007450954516293</v>
      </c>
      <c r="AY229">
        <f t="shared" si="242"/>
        <v>3.8591012068393153E-2</v>
      </c>
      <c r="AZ229" t="str">
        <f t="shared" si="218"/>
        <v>1+2,67112251620907i</v>
      </c>
      <c r="BA229">
        <f t="shared" si="243"/>
        <v>2.8521738194926121</v>
      </c>
      <c r="BB229">
        <f t="shared" si="244"/>
        <v>1.2125742041949816</v>
      </c>
      <c r="BC229" s="41" t="str">
        <f t="shared" si="245"/>
        <v>-3,55613060647054+1,49016712195071i</v>
      </c>
      <c r="BD229">
        <f t="shared" si="246"/>
        <v>11.722134951740257</v>
      </c>
      <c r="BE229" s="43">
        <f t="shared" si="247"/>
        <v>157.26428212814955</v>
      </c>
      <c r="BF229" s="41" t="str">
        <f t="shared" si="248"/>
        <v>0,842387759947378+3,19948179619739i</v>
      </c>
      <c r="BG229" s="20">
        <f t="shared" si="249"/>
        <v>10.392673822694547</v>
      </c>
      <c r="BH229" s="43">
        <f t="shared" si="250"/>
        <v>75.249422219351686</v>
      </c>
      <c r="BI229" s="41" t="str">
        <f t="shared" si="203"/>
        <v>2,39494716205148+10,1896125789335i</v>
      </c>
      <c r="BJ229" s="20">
        <f t="shared" si="251"/>
        <v>20.396677857666674</v>
      </c>
      <c r="BK229" s="43">
        <f t="shared" si="204"/>
        <v>76.773380198597621</v>
      </c>
      <c r="BL229">
        <f t="shared" si="252"/>
        <v>10.392673822694547</v>
      </c>
      <c r="BM229" s="43">
        <f t="shared" si="253"/>
        <v>75.249422219351686</v>
      </c>
    </row>
    <row r="230" spans="14:65" x14ac:dyDescent="0.25">
      <c r="N230" s="9">
        <v>12</v>
      </c>
      <c r="O230" s="34">
        <f t="shared" si="254"/>
        <v>1318.2567385564089</v>
      </c>
      <c r="P230" s="33" t="str">
        <f t="shared" si="206"/>
        <v>54,631621870174</v>
      </c>
      <c r="Q230" s="4" t="str">
        <f t="shared" si="207"/>
        <v>1+66,0246813248794i</v>
      </c>
      <c r="R230" s="4">
        <f t="shared" si="219"/>
        <v>66.032253816236476</v>
      </c>
      <c r="S230" s="4">
        <f t="shared" si="220"/>
        <v>1.555651633555112</v>
      </c>
      <c r="T230" s="4" t="str">
        <f t="shared" si="208"/>
        <v>1+0,165657027415762i</v>
      </c>
      <c r="U230" s="4">
        <f t="shared" si="221"/>
        <v>1.0136282606223184</v>
      </c>
      <c r="V230" s="4">
        <f t="shared" si="222"/>
        <v>0.16416616516504487</v>
      </c>
      <c r="W230" t="str">
        <f t="shared" si="209"/>
        <v>1-0,0329602721903675i</v>
      </c>
      <c r="X230" s="4">
        <f t="shared" si="223"/>
        <v>1.0005430423239488</v>
      </c>
      <c r="Y230" s="4">
        <f t="shared" si="224"/>
        <v>-3.2948344175934952E-2</v>
      </c>
      <c r="Z230" t="str">
        <f t="shared" si="210"/>
        <v>0,999993048796685+0,00452847481487013i</v>
      </c>
      <c r="AA230" s="4">
        <f t="shared" si="225"/>
        <v>1.0000033023574664</v>
      </c>
      <c r="AB230" s="4">
        <f t="shared" si="226"/>
        <v>4.5284753379020749E-3</v>
      </c>
      <c r="AC230" s="47" t="str">
        <f t="shared" si="227"/>
        <v>0,118610847350095-0,830649813731152i</v>
      </c>
      <c r="AD230" s="20">
        <f t="shared" si="228"/>
        <v>-1.5239794914697167</v>
      </c>
      <c r="AE230" s="43">
        <f t="shared" si="229"/>
        <v>-81.873508180251747</v>
      </c>
      <c r="AF230" t="str">
        <f t="shared" si="211"/>
        <v>171,265703090588</v>
      </c>
      <c r="AG230" t="str">
        <f t="shared" si="212"/>
        <v>1+65,3928239733661i</v>
      </c>
      <c r="AH230">
        <f t="shared" si="230"/>
        <v>65.400469625314201</v>
      </c>
      <c r="AI230">
        <f t="shared" si="231"/>
        <v>1.5555053208443859</v>
      </c>
      <c r="AJ230" t="str">
        <f t="shared" si="213"/>
        <v>1+0,165657027415762i</v>
      </c>
      <c r="AK230">
        <f t="shared" si="232"/>
        <v>1.0136282606223184</v>
      </c>
      <c r="AL230">
        <f t="shared" si="233"/>
        <v>0.16416616516504487</v>
      </c>
      <c r="AM230" t="str">
        <f t="shared" si="214"/>
        <v>1-0,0104132886062905i</v>
      </c>
      <c r="AN230">
        <f t="shared" si="234"/>
        <v>1.000054216820067</v>
      </c>
      <c r="AO230">
        <f t="shared" si="235"/>
        <v>-1.0412912236977906E-2</v>
      </c>
      <c r="AP230" s="41" t="str">
        <f t="shared" si="236"/>
        <v>0,446603215528984-2,61671738141043i</v>
      </c>
      <c r="AQ230">
        <f t="shared" si="237"/>
        <v>8.4798358154665081</v>
      </c>
      <c r="AR230" s="43">
        <f t="shared" si="238"/>
        <v>-80.314477415340605</v>
      </c>
      <c r="AS230" t="str">
        <f t="shared" si="215"/>
        <v>-0,0000166666666666667</v>
      </c>
      <c r="AT230" t="str">
        <f t="shared" si="216"/>
        <v>0,0000126064997863395i</v>
      </c>
      <c r="AU230">
        <f t="shared" si="239"/>
        <v>1.26064997863395E-5</v>
      </c>
      <c r="AV230">
        <f t="shared" si="240"/>
        <v>1.5707963267948966</v>
      </c>
      <c r="AW230" t="str">
        <f t="shared" si="217"/>
        <v>1+0,0395095275636805i</v>
      </c>
      <c r="AX230">
        <f t="shared" si="241"/>
        <v>1.0007801970304495</v>
      </c>
      <c r="AY230">
        <f t="shared" si="242"/>
        <v>3.9488988636411003E-2</v>
      </c>
      <c r="AZ230" t="str">
        <f t="shared" si="218"/>
        <v>1+2,73334095236008i</v>
      </c>
      <c r="BA230">
        <f t="shared" si="243"/>
        <v>2.9105244822623821</v>
      </c>
      <c r="BB230">
        <f t="shared" si="244"/>
        <v>1.2200692779573981</v>
      </c>
      <c r="BC230" s="41" t="str">
        <f t="shared" si="245"/>
        <v>-3,55588115387332+1,462560509742i</v>
      </c>
      <c r="BD230">
        <f t="shared" si="246"/>
        <v>11.697735648616788</v>
      </c>
      <c r="BE230" s="43">
        <f t="shared" si="247"/>
        <v>157.64226795442619</v>
      </c>
      <c r="BF230" s="41" t="str">
        <f t="shared" si="248"/>
        <v>0,793109538250583+3,12716755947627i</v>
      </c>
      <c r="BG230" s="20">
        <f t="shared" si="249"/>
        <v>10.173756157147064</v>
      </c>
      <c r="BH230" s="43">
        <f t="shared" si="250"/>
        <v>75.768759774174413</v>
      </c>
      <c r="BI230" s="41" t="str">
        <f t="shared" si="203"/>
        <v>2,23903954984765+9,95792024812658i</v>
      </c>
      <c r="BJ230" s="20">
        <f t="shared" si="251"/>
        <v>20.1775714640833</v>
      </c>
      <c r="BK230" s="43">
        <f t="shared" si="204"/>
        <v>77.327790539085584</v>
      </c>
      <c r="BL230">
        <f t="shared" si="252"/>
        <v>10.173756157147064</v>
      </c>
      <c r="BM230" s="43">
        <f t="shared" si="253"/>
        <v>75.768759774174413</v>
      </c>
    </row>
    <row r="231" spans="14:65" x14ac:dyDescent="0.25">
      <c r="N231" s="9">
        <v>13</v>
      </c>
      <c r="O231" s="34">
        <f t="shared" si="254"/>
        <v>1348.9628825916541</v>
      </c>
      <c r="P231" s="33" t="str">
        <f t="shared" si="206"/>
        <v>54,631621870174</v>
      </c>
      <c r="Q231" s="4" t="str">
        <f t="shared" si="207"/>
        <v>1+67,562593717319i</v>
      </c>
      <c r="R231" s="4">
        <f t="shared" si="219"/>
        <v>67.569993856826073</v>
      </c>
      <c r="S231" s="4">
        <f t="shared" si="220"/>
        <v>1.5559963179364928</v>
      </c>
      <c r="T231" s="4" t="str">
        <f t="shared" si="208"/>
        <v>1+0,16951567527661i</v>
      </c>
      <c r="U231" s="4">
        <f t="shared" si="221"/>
        <v>1.0142660223848994</v>
      </c>
      <c r="V231" s="4">
        <f t="shared" si="222"/>
        <v>0.16791939862132602</v>
      </c>
      <c r="W231" t="str">
        <f t="shared" si="209"/>
        <v>1-0,0337280155560692i</v>
      </c>
      <c r="X231" s="4">
        <f t="shared" si="223"/>
        <v>1.0005686278478605</v>
      </c>
      <c r="Y231" s="4">
        <f t="shared" si="224"/>
        <v>-3.3715234850595577E-2</v>
      </c>
      <c r="Z231" t="str">
        <f t="shared" si="210"/>
        <v>0,999992721196566+0,00463395654377649i</v>
      </c>
      <c r="AA231" s="4">
        <f t="shared" si="225"/>
        <v>1.0000034579937023</v>
      </c>
      <c r="AB231" s="4">
        <f t="shared" si="226"/>
        <v>4.6339571042129995E-3</v>
      </c>
      <c r="AC231" s="47" t="str">
        <f t="shared" si="227"/>
        <v>0,118047114920787-0,811980712905577i</v>
      </c>
      <c r="AD231" s="20">
        <f t="shared" si="228"/>
        <v>-1.7182505741712646</v>
      </c>
      <c r="AE231" s="43">
        <f t="shared" si="229"/>
        <v>-81.728195963027972</v>
      </c>
      <c r="AF231" t="str">
        <f t="shared" si="211"/>
        <v>171,265703090588</v>
      </c>
      <c r="AG231" t="str">
        <f t="shared" si="212"/>
        <v>1+66,9160185173944i</v>
      </c>
      <c r="AH231">
        <f t="shared" si="230"/>
        <v>66.923490152712972</v>
      </c>
      <c r="AI231">
        <f t="shared" si="231"/>
        <v>1.5558533342194638</v>
      </c>
      <c r="AJ231" t="str">
        <f t="shared" si="213"/>
        <v>1+0,16951567527661i</v>
      </c>
      <c r="AK231">
        <f t="shared" si="232"/>
        <v>1.0142660223848994</v>
      </c>
      <c r="AL231">
        <f t="shared" si="233"/>
        <v>0.16791939862132602</v>
      </c>
      <c r="AM231" t="str">
        <f t="shared" si="214"/>
        <v>1-0,0106558452574141i</v>
      </c>
      <c r="AN231">
        <f t="shared" si="234"/>
        <v>1.0000567719075502</v>
      </c>
      <c r="AO231">
        <f t="shared" si="235"/>
        <v>-1.065544197166623E-2</v>
      </c>
      <c r="AP231" s="41" t="str">
        <f t="shared" si="236"/>
        <v>0,444805738598191-2,55738855959094i</v>
      </c>
      <c r="AQ231">
        <f t="shared" si="237"/>
        <v>8.2853670372996078</v>
      </c>
      <c r="AR231" s="43">
        <f t="shared" si="238"/>
        <v>-80.133268606578511</v>
      </c>
      <c r="AS231" t="str">
        <f t="shared" si="215"/>
        <v>-0,0000166666666666667</v>
      </c>
      <c r="AT231" t="str">
        <f t="shared" si="216"/>
        <v>0,00001290014288855i</v>
      </c>
      <c r="AU231">
        <f t="shared" si="239"/>
        <v>1.290014288855E-5</v>
      </c>
      <c r="AV231">
        <f t="shared" si="240"/>
        <v>1.5707963267948966</v>
      </c>
      <c r="AW231" t="str">
        <f t="shared" si="217"/>
        <v>1+0,0404298226842375i</v>
      </c>
      <c r="AX231">
        <f t="shared" si="241"/>
        <v>1.0008169515762004</v>
      </c>
      <c r="AY231">
        <f t="shared" si="242"/>
        <v>4.0407815797295438E-2</v>
      </c>
      <c r="AZ231" t="str">
        <f t="shared" si="218"/>
        <v>1+2,79700864206407i</v>
      </c>
      <c r="BA231">
        <f t="shared" si="243"/>
        <v>2.9703968327112609</v>
      </c>
      <c r="BB231">
        <f t="shared" si="244"/>
        <v>1.2274336765565486</v>
      </c>
      <c r="BC231" s="41" t="str">
        <f t="shared" si="245"/>
        <v>-3,55561998244434+1,43572843877018i</v>
      </c>
      <c r="BD231">
        <f t="shared" si="246"/>
        <v>11.674280984925486</v>
      </c>
      <c r="BE231" s="43">
        <f t="shared" si="247"/>
        <v>158.01157199438896</v>
      </c>
      <c r="BF231" s="41" t="str">
        <f t="shared" si="248"/>
        <v>0,746053120569168+3,05657844817302i</v>
      </c>
      <c r="BG231" s="20">
        <f t="shared" si="249"/>
        <v>9.9560304107542326</v>
      </c>
      <c r="BH231" s="43">
        <f t="shared" si="250"/>
        <v>76.28337603136103</v>
      </c>
      <c r="BI231" s="41" t="str">
        <f t="shared" si="203"/>
        <v>2,09015531152458+9,73172211398969i</v>
      </c>
      <c r="BJ231" s="20">
        <f t="shared" si="251"/>
        <v>19.959648022225092</v>
      </c>
      <c r="BK231" s="43">
        <f t="shared" si="204"/>
        <v>77.878303387810448</v>
      </c>
      <c r="BL231">
        <f t="shared" si="252"/>
        <v>9.9560304107542326</v>
      </c>
      <c r="BM231" s="43">
        <f t="shared" si="253"/>
        <v>76.28337603136103</v>
      </c>
    </row>
    <row r="232" spans="14:65" x14ac:dyDescent="0.25">
      <c r="N232" s="9">
        <v>14</v>
      </c>
      <c r="O232" s="34">
        <f t="shared" si="254"/>
        <v>1380.3842646028863</v>
      </c>
      <c r="P232" s="33" t="str">
        <f t="shared" si="206"/>
        <v>54,631621870174</v>
      </c>
      <c r="Q232" s="4" t="str">
        <f t="shared" si="207"/>
        <v>1+69,1363286912443i</v>
      </c>
      <c r="R232" s="4">
        <f t="shared" si="219"/>
        <v>69.143560400833934</v>
      </c>
      <c r="S232" s="4">
        <f t="shared" si="220"/>
        <v>1.5563331597418781</v>
      </c>
      <c r="T232" s="4" t="str">
        <f t="shared" si="208"/>
        <v>1+0,173464202592295i</v>
      </c>
      <c r="U232" s="4">
        <f t="shared" si="221"/>
        <v>1.0149334114024333</v>
      </c>
      <c r="V232" s="4">
        <f t="shared" si="222"/>
        <v>0.17175511763295595</v>
      </c>
      <c r="W232" t="str">
        <f t="shared" si="209"/>
        <v>1-0,0345136419620619i</v>
      </c>
      <c r="X232" s="4">
        <f t="shared" si="223"/>
        <v>1.0005954184791601</v>
      </c>
      <c r="Y232" s="4">
        <f t="shared" si="224"/>
        <v>-3.4499947629506894E-2</v>
      </c>
      <c r="Z232" t="str">
        <f t="shared" si="210"/>
        <v>0,999992378157128+0,00474189525778003i</v>
      </c>
      <c r="AA232" s="4">
        <f t="shared" si="225"/>
        <v>1.0000036209649363</v>
      </c>
      <c r="AB232" s="4">
        <f t="shared" si="226"/>
        <v>4.7418958582959754E-3</v>
      </c>
      <c r="AC232" s="47" t="str">
        <f t="shared" si="227"/>
        <v>0,117508648589048-0,793741384972665i</v>
      </c>
      <c r="AD232" s="20">
        <f t="shared" si="228"/>
        <v>-1.9122631601122246</v>
      </c>
      <c r="AE232" s="43">
        <f t="shared" si="229"/>
        <v>-81.578870231492076</v>
      </c>
      <c r="AF232" t="str">
        <f t="shared" si="211"/>
        <v>171,265703090588</v>
      </c>
      <c r="AG232" t="str">
        <f t="shared" si="212"/>
        <v>1+68,4746928201789i</v>
      </c>
      <c r="AH232">
        <f t="shared" si="230"/>
        <v>68.481994398658259</v>
      </c>
      <c r="AI232">
        <f t="shared" si="231"/>
        <v>1.556193429340835</v>
      </c>
      <c r="AJ232" t="str">
        <f t="shared" si="213"/>
        <v>1+0,173464202592295i</v>
      </c>
      <c r="AK232">
        <f t="shared" si="232"/>
        <v>1.0149334114024333</v>
      </c>
      <c r="AL232">
        <f t="shared" si="233"/>
        <v>0.17175511763295595</v>
      </c>
      <c r="AM232" t="str">
        <f t="shared" si="214"/>
        <v>1-0,0109040517787399i</v>
      </c>
      <c r="AN232">
        <f t="shared" si="234"/>
        <v>1.0000594474055997</v>
      </c>
      <c r="AO232">
        <f t="shared" si="235"/>
        <v>-1.0903619651662866E-2</v>
      </c>
      <c r="AP232" s="41" t="str">
        <f t="shared" si="236"/>
        <v>0,443089126142324-2,49941328096164i</v>
      </c>
      <c r="AQ232">
        <f t="shared" si="237"/>
        <v>8.0911473706769055</v>
      </c>
      <c r="AR232" s="43">
        <f t="shared" si="238"/>
        <v>-79.947203644534781</v>
      </c>
      <c r="AS232" t="str">
        <f t="shared" si="215"/>
        <v>-0,0000166666666666667</v>
      </c>
      <c r="AT232" t="str">
        <f t="shared" si="216"/>
        <v>0,0000132006258172737i</v>
      </c>
      <c r="AU232">
        <f t="shared" si="239"/>
        <v>1.32006258172737E-5</v>
      </c>
      <c r="AV232">
        <f t="shared" si="240"/>
        <v>1.5707963267948966</v>
      </c>
      <c r="AW232" t="str">
        <f t="shared" si="217"/>
        <v>1+0,0413715542319337i</v>
      </c>
      <c r="AX232">
        <f t="shared" si="241"/>
        <v>1.0008554368636691</v>
      </c>
      <c r="AY232">
        <f t="shared" si="242"/>
        <v>4.1347974516120767E-2</v>
      </c>
      <c r="AZ232" t="str">
        <f t="shared" si="218"/>
        <v>1+2,86215934277287i</v>
      </c>
      <c r="BA232">
        <f t="shared" si="243"/>
        <v>3.0318238905685182</v>
      </c>
      <c r="BB232">
        <f t="shared" si="244"/>
        <v>1.2346681084974325</v>
      </c>
      <c r="BC232" s="41" t="str">
        <f t="shared" si="245"/>
        <v>-3,55534654350156+1,40965661618643i</v>
      </c>
      <c r="BD232">
        <f t="shared" si="246"/>
        <v>11.65173693945254</v>
      </c>
      <c r="BE232" s="43">
        <f t="shared" si="247"/>
        <v>158.37220728511508</v>
      </c>
      <c r="BF232" s="41" t="str">
        <f t="shared" si="248"/>
        <v>0,701118827275086+2,98767253343938i</v>
      </c>
      <c r="BG232" s="20">
        <f t="shared" si="249"/>
        <v>9.7394737793403063</v>
      </c>
      <c r="BH232" s="43">
        <f t="shared" si="250"/>
        <v>76.793337053622992</v>
      </c>
      <c r="BI232" s="41" t="str">
        <f t="shared" si="203"/>
        <v>1,94797907499857+9,51088388747565i</v>
      </c>
      <c r="BJ232" s="20">
        <f t="shared" si="251"/>
        <v>19.742884310129444</v>
      </c>
      <c r="BK232" s="43">
        <f t="shared" si="204"/>
        <v>78.425003640580314</v>
      </c>
      <c r="BL232">
        <f t="shared" si="252"/>
        <v>9.7394737793403063</v>
      </c>
      <c r="BM232" s="43">
        <f t="shared" si="253"/>
        <v>76.793337053622992</v>
      </c>
    </row>
    <row r="233" spans="14:65" x14ac:dyDescent="0.25">
      <c r="N233" s="9">
        <v>15</v>
      </c>
      <c r="O233" s="34">
        <f t="shared" si="254"/>
        <v>1412.5375446227545</v>
      </c>
      <c r="P233" s="33" t="str">
        <f t="shared" si="206"/>
        <v>54,631621870174</v>
      </c>
      <c r="Q233" s="4" t="str">
        <f t="shared" si="207"/>
        <v>1+70,7467206617691i</v>
      </c>
      <c r="R233" s="4">
        <f t="shared" si="219"/>
        <v>70.753787774184829</v>
      </c>
      <c r="S233" s="4">
        <f t="shared" si="220"/>
        <v>1.5566623372633253</v>
      </c>
      <c r="T233" s="4" t="str">
        <f t="shared" si="208"/>
        <v>1+0,177504702924264i</v>
      </c>
      <c r="U233" s="4">
        <f t="shared" si="221"/>
        <v>1.0156317834531525</v>
      </c>
      <c r="V233" s="4">
        <f t="shared" si="222"/>
        <v>0.17567490425129206</v>
      </c>
      <c r="W233" t="str">
        <f t="shared" si="209"/>
        <v>1-0,0353175679578649i</v>
      </c>
      <c r="X233" s="4">
        <f t="shared" si="223"/>
        <v>1.0006234709452195</v>
      </c>
      <c r="Y233" s="4">
        <f t="shared" si="224"/>
        <v>-3.5302894709915392E-2</v>
      </c>
      <c r="Z233" t="str">
        <f t="shared" si="210"/>
        <v>0,99999201895074+0,00485234818741564i</v>
      </c>
      <c r="AA233" s="4">
        <f t="shared" si="225"/>
        <v>1.0000037916168663</v>
      </c>
      <c r="AB233" s="4">
        <f t="shared" si="226"/>
        <v>4.8523488308771547E-3</v>
      </c>
      <c r="AC233" s="47" t="str">
        <f t="shared" si="227"/>
        <v>0,116994307660654-0,775922209199283i</v>
      </c>
      <c r="AD233" s="20">
        <f t="shared" si="228"/>
        <v>-2.1060055706205141</v>
      </c>
      <c r="AE233" s="43">
        <f t="shared" si="229"/>
        <v>-81.425477452402362</v>
      </c>
      <c r="AF233" t="str">
        <f t="shared" si="211"/>
        <v>171,265703090588</v>
      </c>
      <c r="AG233" t="str">
        <f t="shared" si="212"/>
        <v>1+70,0696733114662i</v>
      </c>
      <c r="AH233">
        <f t="shared" si="230"/>
        <v>70.076808702848339</v>
      </c>
      <c r="AI233">
        <f t="shared" si="231"/>
        <v>1.5565257862165576</v>
      </c>
      <c r="AJ233" t="str">
        <f t="shared" si="213"/>
        <v>1+0,177504702924264i</v>
      </c>
      <c r="AK233">
        <f t="shared" si="232"/>
        <v>1.0156317834531525</v>
      </c>
      <c r="AL233">
        <f t="shared" si="233"/>
        <v>0.17567490425129206</v>
      </c>
      <c r="AM233" t="str">
        <f t="shared" si="214"/>
        <v>1-0,0111580397726511i</v>
      </c>
      <c r="AN233">
        <f t="shared" si="234"/>
        <v>1.0000622489883157</v>
      </c>
      <c r="AO233">
        <f t="shared" si="235"/>
        <v>-1.1157576741702344E-2</v>
      </c>
      <c r="AP233" s="41" t="str">
        <f t="shared" si="236"/>
        <v>0,441449741766712-2,44276096759044i</v>
      </c>
      <c r="AQ233">
        <f t="shared" si="237"/>
        <v>7.8971880567262707</v>
      </c>
      <c r="AR233" s="43">
        <f t="shared" si="238"/>
        <v>-79.756209730419997</v>
      </c>
      <c r="AS233" t="str">
        <f t="shared" si="215"/>
        <v>-0,0000166666666666667</v>
      </c>
      <c r="AT233" t="str">
        <f t="shared" si="216"/>
        <v>0,0000135081078925365i</v>
      </c>
      <c r="AU233">
        <f t="shared" si="239"/>
        <v>1.35081078925365E-5</v>
      </c>
      <c r="AV233">
        <f t="shared" si="240"/>
        <v>1.5707963267948966</v>
      </c>
      <c r="AW233" t="str">
        <f t="shared" si="217"/>
        <v>1+0,0423352215253009i</v>
      </c>
      <c r="AX233">
        <f t="shared" si="241"/>
        <v>1.0008957343208114</v>
      </c>
      <c r="AY233">
        <f t="shared" si="242"/>
        <v>4.2309956625655766E-2</v>
      </c>
      <c r="AZ233" t="str">
        <f t="shared" si="218"/>
        <v>1+2,92882759825036i</v>
      </c>
      <c r="BA233">
        <f t="shared" si="243"/>
        <v>3.0948394304507905</v>
      </c>
      <c r="BB233">
        <f t="shared" si="244"/>
        <v>1.2417733795965646</v>
      </c>
      <c r="BC233" s="41" t="str">
        <f t="shared" si="245"/>
        <v>-3,55506026285136+1,38433114753282i</v>
      </c>
      <c r="BD233">
        <f t="shared" si="246"/>
        <v>11.630070238271719</v>
      </c>
      <c r="BE233" s="43">
        <f t="shared" si="247"/>
        <v>158.72419181654831</v>
      </c>
      <c r="BF233" s="41" t="str">
        <f t="shared" si="248"/>
        <v>0,658211468112847+2,92040907716689i</v>
      </c>
      <c r="BG233" s="20">
        <f t="shared" si="249"/>
        <v>9.5240646676511993</v>
      </c>
      <c r="BH233" s="43">
        <f t="shared" si="250"/>
        <v>77.298714364145937</v>
      </c>
      <c r="BI233" s="41" t="str">
        <f t="shared" si="203"/>
        <v>1,81220965841202+9,29527507512309i</v>
      </c>
      <c r="BJ233" s="20">
        <f t="shared" si="251"/>
        <v>19.527258294997985</v>
      </c>
      <c r="BK233" s="43">
        <f t="shared" si="204"/>
        <v>78.96798208612833</v>
      </c>
      <c r="BL233">
        <f t="shared" si="252"/>
        <v>9.5240646676511993</v>
      </c>
      <c r="BM233" s="43">
        <f t="shared" si="253"/>
        <v>77.298714364145937</v>
      </c>
    </row>
    <row r="234" spans="14:65" x14ac:dyDescent="0.25">
      <c r="N234" s="9">
        <v>16</v>
      </c>
      <c r="O234" s="34">
        <f t="shared" si="254"/>
        <v>1445.4397707459289</v>
      </c>
      <c r="P234" s="33" t="str">
        <f t="shared" si="206"/>
        <v>54,631621870174</v>
      </c>
      <c r="Q234" s="4" t="str">
        <f t="shared" si="207"/>
        <v>1+72,3946234800324i</v>
      </c>
      <c r="R234" s="4">
        <f t="shared" si="219"/>
        <v>72.401529740853249</v>
      </c>
      <c r="S234" s="4">
        <f t="shared" si="220"/>
        <v>1.5569840247495976</v>
      </c>
      <c r="T234" s="4" t="str">
        <f t="shared" si="208"/>
        <v>1+0,181639318599277i</v>
      </c>
      <c r="U234" s="4">
        <f t="shared" si="221"/>
        <v>1.0163625544367569</v>
      </c>
      <c r="V234" s="4">
        <f t="shared" si="222"/>
        <v>0.17968035474771532</v>
      </c>
      <c r="W234" t="str">
        <f t="shared" si="209"/>
        <v>1-0,0361402197956825i</v>
      </c>
      <c r="X234" s="4">
        <f t="shared" si="223"/>
        <v>1.000652844640378</v>
      </c>
      <c r="Y234" s="4">
        <f t="shared" si="224"/>
        <v>-3.6124497681191442E-2</v>
      </c>
      <c r="Z234" t="str">
        <f t="shared" si="210"/>
        <v>0,999991642815477+0,00496537389628864i</v>
      </c>
      <c r="AA234" s="4">
        <f t="shared" si="225"/>
        <v>1.0000039703114818</v>
      </c>
      <c r="AB234" s="4">
        <f t="shared" si="226"/>
        <v>4.9653745857668021E-3</v>
      </c>
      <c r="AC234" s="47" t="str">
        <f t="shared" si="227"/>
        <v>0,116503002485757-0,758513784284607i</v>
      </c>
      <c r="AD234" s="20">
        <f t="shared" si="228"/>
        <v>-2.2994656484822062</v>
      </c>
      <c r="AE234" s="43">
        <f t="shared" si="229"/>
        <v>-81.267963660615294</v>
      </c>
      <c r="AF234" t="str">
        <f t="shared" si="211"/>
        <v>171,265703090588</v>
      </c>
      <c r="AG234" t="str">
        <f t="shared" si="212"/>
        <v>1+71,7018056710253i</v>
      </c>
      <c r="AH234">
        <f t="shared" si="230"/>
        <v>71.708778657047802</v>
      </c>
      <c r="AI234">
        <f t="shared" si="231"/>
        <v>1.5568505807727782</v>
      </c>
      <c r="AJ234" t="str">
        <f t="shared" si="213"/>
        <v>1+0,181639318599277i</v>
      </c>
      <c r="AK234">
        <f t="shared" si="232"/>
        <v>1.0163625544367569</v>
      </c>
      <c r="AL234">
        <f t="shared" si="233"/>
        <v>0.17968035474771532</v>
      </c>
      <c r="AM234" t="str">
        <f t="shared" si="214"/>
        <v>1-0,0114179439069438i</v>
      </c>
      <c r="AN234">
        <f t="shared" si="234"/>
        <v>1.0000651825971456</v>
      </c>
      <c r="AO234">
        <f t="shared" si="235"/>
        <v>-1.141744776208981E-2</v>
      </c>
      <c r="AP234" s="41" t="str">
        <f t="shared" si="236"/>
        <v>0,439884112468214-2,38740173223838i</v>
      </c>
      <c r="AQ234">
        <f t="shared" si="237"/>
        <v>7.7035007944462723</v>
      </c>
      <c r="AR234" s="43">
        <f t="shared" si="238"/>
        <v>-79.560213191892558</v>
      </c>
      <c r="AS234" t="str">
        <f t="shared" si="215"/>
        <v>-0,0000166666666666667</v>
      </c>
      <c r="AT234" t="str">
        <f t="shared" si="216"/>
        <v>0,000013822752145405i</v>
      </c>
      <c r="AU234">
        <f t="shared" si="239"/>
        <v>1.3822752145405001E-5</v>
      </c>
      <c r="AV234">
        <f t="shared" si="240"/>
        <v>1.5707963267948966</v>
      </c>
      <c r="AW234" t="str">
        <f t="shared" si="217"/>
        <v>1+0,0433213355134938i</v>
      </c>
      <c r="AX234">
        <f t="shared" si="241"/>
        <v>1.0009379291997444</v>
      </c>
      <c r="AY234">
        <f t="shared" si="242"/>
        <v>4.3294265055670161E-2</v>
      </c>
      <c r="AZ234" t="str">
        <f t="shared" si="218"/>
        <v>1+2,99704875688807i</v>
      </c>
      <c r="BA234">
        <f t="shared" si="243"/>
        <v>3.1594780029562357</v>
      </c>
      <c r="BB234">
        <f t="shared" si="244"/>
        <v>1.2487503865690268</v>
      </c>
      <c r="BC234" s="41" t="str">
        <f t="shared" si="245"/>
        <v>-3,55476053961926+1,35973852904217i</v>
      </c>
      <c r="BD234">
        <f t="shared" si="246"/>
        <v>11.609248366069711</v>
      </c>
      <c r="BE234" s="43">
        <f t="shared" si="247"/>
        <v>159.06754815092464</v>
      </c>
      <c r="BF234" s="41" t="str">
        <f t="shared" si="248"/>
        <v>0,617240141317828+2,85474849036118i</v>
      </c>
      <c r="BG234" s="20">
        <f t="shared" si="249"/>
        <v>9.3097827175875185</v>
      </c>
      <c r="BH234" s="43">
        <f t="shared" si="250"/>
        <v>77.799584490309357</v>
      </c>
      <c r="BI234" s="41" t="str">
        <f t="shared" si="203"/>
        <v>1,6825594346191+9,08476884601621i</v>
      </c>
      <c r="BJ234" s="20">
        <f t="shared" si="251"/>
        <v>19.312749160515985</v>
      </c>
      <c r="BK234" s="43">
        <f t="shared" si="204"/>
        <v>79.507334959032065</v>
      </c>
      <c r="BL234">
        <f t="shared" si="252"/>
        <v>9.3097827175875185</v>
      </c>
      <c r="BM234" s="43">
        <f t="shared" si="253"/>
        <v>77.799584490309357</v>
      </c>
    </row>
    <row r="235" spans="14:65" x14ac:dyDescent="0.25">
      <c r="N235" s="9">
        <v>17</v>
      </c>
      <c r="O235" s="34">
        <f t="shared" si="254"/>
        <v>1479.1083881682086</v>
      </c>
      <c r="P235" s="33" t="str">
        <f t="shared" si="206"/>
        <v>54,631621870174</v>
      </c>
      <c r="Q235" s="4" t="str">
        <f t="shared" si="207"/>
        <v>1+74,0809108859209i</v>
      </c>
      <c r="R235" s="4">
        <f t="shared" si="219"/>
        <v>74.087659955540204</v>
      </c>
      <c r="S235" s="4">
        <f t="shared" si="220"/>
        <v>1.5572983924971926</v>
      </c>
      <c r="T235" s="4" t="str">
        <f t="shared" si="208"/>
        <v>1+0,185870241845291i</v>
      </c>
      <c r="U235" s="4">
        <f t="shared" si="221"/>
        <v>1.0171272028628606</v>
      </c>
      <c r="V235" s="4">
        <f t="shared" si="222"/>
        <v>0.18377307851517716</v>
      </c>
      <c r="W235" t="str">
        <f t="shared" si="209"/>
        <v>1-0,0369820336564081i</v>
      </c>
      <c r="X235" s="4">
        <f t="shared" si="223"/>
        <v>1.0006836017510048</v>
      </c>
      <c r="Y235" s="4">
        <f t="shared" si="224"/>
        <v>-3.6965187728708826E-2</v>
      </c>
      <c r="Z235" t="str">
        <f t="shared" si="210"/>
        <v>0,999991248953504+0,00508103231212595i</v>
      </c>
      <c r="AA235" s="4">
        <f t="shared" si="225"/>
        <v>1.0000041574278307</v>
      </c>
      <c r="AB235" s="4">
        <f t="shared" si="226"/>
        <v>5.0810330509114465E-3</v>
      </c>
      <c r="AC235" s="47" t="str">
        <f t="shared" si="227"/>
        <v>0,11603369215892-0,741506923597766i</v>
      </c>
      <c r="AD235" s="20">
        <f t="shared" si="228"/>
        <v>-2.4926307407072854</v>
      </c>
      <c r="AE235" s="43">
        <f t="shared" si="229"/>
        <v>-81.106274540698251</v>
      </c>
      <c r="AF235" t="str">
        <f t="shared" si="211"/>
        <v>171,265703090588</v>
      </c>
      <c r="AG235" t="str">
        <f t="shared" si="212"/>
        <v>1+73,3719552770366i</v>
      </c>
      <c r="AH235">
        <f t="shared" si="230"/>
        <v>73.378769553430516</v>
      </c>
      <c r="AI235">
        <f t="shared" si="231"/>
        <v>1.5571679849456075</v>
      </c>
      <c r="AJ235" t="str">
        <f t="shared" si="213"/>
        <v>1+0,185870241845291i</v>
      </c>
      <c r="AK235">
        <f t="shared" si="232"/>
        <v>1.0171272028628606</v>
      </c>
      <c r="AL235">
        <f t="shared" si="233"/>
        <v>0.18377307851517716</v>
      </c>
      <c r="AM235" t="str">
        <f t="shared" si="214"/>
        <v>1-0,0116839019862303i</v>
      </c>
      <c r="AN235">
        <f t="shared" si="234"/>
        <v>1.0000682544534767</v>
      </c>
      <c r="AO235">
        <f t="shared" si="235"/>
        <v>-1.1683370359400673E-2</v>
      </c>
      <c r="AP235" s="41" t="str">
        <f t="shared" si="236"/>
        <v>0,438388921305406-2,33330636323048i</v>
      </c>
      <c r="AQ235">
        <f t="shared" si="237"/>
        <v>7.5100977569844183</v>
      </c>
      <c r="AR235" s="43">
        <f t="shared" si="238"/>
        <v>-79.359139555310179</v>
      </c>
      <c r="AS235" t="str">
        <f t="shared" si="215"/>
        <v>-0,0000166666666666667</v>
      </c>
      <c r="AT235" t="str">
        <f t="shared" si="216"/>
        <v>0,0000141447254044267i</v>
      </c>
      <c r="AU235">
        <f t="shared" si="239"/>
        <v>1.4144725404426699E-5</v>
      </c>
      <c r="AV235">
        <f t="shared" si="240"/>
        <v>1.5707963267948966</v>
      </c>
      <c r="AW235" t="str">
        <f t="shared" si="217"/>
        <v>1+0,0443304190472015i</v>
      </c>
      <c r="AX235">
        <f t="shared" si="241"/>
        <v>1.000982110755682</v>
      </c>
      <c r="AY235">
        <f t="shared" si="242"/>
        <v>4.4301414065895349E-2</v>
      </c>
      <c r="AZ235" t="str">
        <f t="shared" si="218"/>
        <v>1+3,06685899044731i</v>
      </c>
      <c r="BA235">
        <f t="shared" si="243"/>
        <v>3.2257749560822577</v>
      </c>
      <c r="BB235">
        <f t="shared" si="244"/>
        <v>1.255600110768144</v>
      </c>
      <c r="BC235" s="41" t="str">
        <f t="shared" si="245"/>
        <v>-3,55444674502917+1,33586564012164i</v>
      </c>
      <c r="BD235">
        <f t="shared" si="246"/>
        <v>11.589239574270065</v>
      </c>
      <c r="BE235" s="43">
        <f t="shared" si="247"/>
        <v>159.40230305073592</v>
      </c>
      <c r="BF235" s="41" t="str">
        <f t="shared" si="248"/>
        <v>0,578118041738568+2,79065229345023i</v>
      </c>
      <c r="BG235" s="20">
        <f t="shared" si="249"/>
        <v>9.0966088335627937</v>
      </c>
      <c r="BH235" s="43">
        <f t="shared" si="250"/>
        <v>78.296028510037701</v>
      </c>
      <c r="BI235" s="41" t="str">
        <f t="shared" si="203"/>
        <v>1,55875372412593+8,87924190492231i</v>
      </c>
      <c r="BJ235" s="20">
        <f t="shared" si="251"/>
        <v>19.099337331254482</v>
      </c>
      <c r="BK235" s="43">
        <f t="shared" si="204"/>
        <v>80.043163495425773</v>
      </c>
      <c r="BL235">
        <f t="shared" si="252"/>
        <v>9.0966088335627937</v>
      </c>
      <c r="BM235" s="43">
        <f t="shared" si="253"/>
        <v>78.296028510037701</v>
      </c>
    </row>
    <row r="236" spans="14:65" x14ac:dyDescent="0.25">
      <c r="N236" s="9">
        <v>18</v>
      </c>
      <c r="O236" s="34">
        <f t="shared" si="254"/>
        <v>1513.5612484362093</v>
      </c>
      <c r="P236" s="33" t="str">
        <f t="shared" si="206"/>
        <v>54,631621870174</v>
      </c>
      <c r="Q236" s="4" t="str">
        <f t="shared" si="207"/>
        <v>1+75,8064769713379i</v>
      </c>
      <c r="R236" s="4">
        <f t="shared" si="219"/>
        <v>75.813072426897364</v>
      </c>
      <c r="S236" s="4">
        <f t="shared" si="220"/>
        <v>1.5576056069393642</v>
      </c>
      <c r="T236" s="4" t="str">
        <f t="shared" si="208"/>
        <v>1+0,190199715953816i</v>
      </c>
      <c r="U236" s="4">
        <f t="shared" si="221"/>
        <v>1.0179272724261357</v>
      </c>
      <c r="V236" s="4">
        <f t="shared" si="222"/>
        <v>0.18795469686320435</v>
      </c>
      <c r="W236" t="str">
        <f t="shared" si="209"/>
        <v>1-0,0378434558808934i</v>
      </c>
      <c r="X236" s="4">
        <f t="shared" si="223"/>
        <v>1.0007158073863973</v>
      </c>
      <c r="Y236" s="4">
        <f t="shared" si="224"/>
        <v>-3.7825405841417456E-2</v>
      </c>
      <c r="Z236" t="str">
        <f t="shared" si="210"/>
        <v>0,999990836529389+0,00519938475855056i</v>
      </c>
      <c r="AA236" s="4">
        <f t="shared" si="225"/>
        <v>1.0000043533628313</v>
      </c>
      <c r="AB236" s="4">
        <f t="shared" si="226"/>
        <v>5.199385550169364E-3</v>
      </c>
      <c r="AC236" s="47" t="str">
        <f t="shared" si="227"/>
        <v>0,115585382321558-0,724892650514474i</v>
      </c>
      <c r="AD236" s="20">
        <f t="shared" si="228"/>
        <v>-2.6854876809892541</v>
      </c>
      <c r="AE236" s="43">
        <f t="shared" si="229"/>
        <v>-80.940355514784898</v>
      </c>
      <c r="AF236" t="str">
        <f t="shared" si="211"/>
        <v>171,265703090588</v>
      </c>
      <c r="AG236" t="str">
        <f t="shared" si="212"/>
        <v>1+75,0810076649284i</v>
      </c>
      <c r="AH236">
        <f t="shared" si="230"/>
        <v>75.087666843370741</v>
      </c>
      <c r="AI236">
        <f t="shared" si="231"/>
        <v>1.5574781667709763</v>
      </c>
      <c r="AJ236" t="str">
        <f t="shared" si="213"/>
        <v>1+0,190199715953816i</v>
      </c>
      <c r="AK236">
        <f t="shared" si="232"/>
        <v>1.0179272724261357</v>
      </c>
      <c r="AL236">
        <f t="shared" si="233"/>
        <v>0.18795469686320435</v>
      </c>
      <c r="AM236" t="str">
        <f t="shared" si="214"/>
        <v>1-0,0119560550250047i</v>
      </c>
      <c r="AN236">
        <f t="shared" si="234"/>
        <v>1.0000714710718235</v>
      </c>
      <c r="AO236">
        <f t="shared" si="235"/>
        <v>-1.1955485378792275E-2</v>
      </c>
      <c r="AP236" s="41" t="str">
        <f t="shared" si="236"/>
        <v>0,436961000396576-2,28044630963687i</v>
      </c>
      <c r="AQ236">
        <f t="shared" si="237"/>
        <v>7.3169916081768758</v>
      </c>
      <c r="AR236" s="43">
        <f t="shared" si="238"/>
        <v>-79.152913624062293</v>
      </c>
      <c r="AS236" t="str">
        <f t="shared" si="215"/>
        <v>-0,0000166666666666667</v>
      </c>
      <c r="AT236" t="str">
        <f t="shared" si="216"/>
        <v>0,0000144741983840854i</v>
      </c>
      <c r="AU236">
        <f t="shared" si="239"/>
        <v>1.44741983840854E-5</v>
      </c>
      <c r="AV236">
        <f t="shared" si="240"/>
        <v>1.5707963267948966</v>
      </c>
      <c r="AW236" t="str">
        <f t="shared" si="217"/>
        <v>1+0,0453630071558706i</v>
      </c>
      <c r="AX236">
        <f t="shared" si="241"/>
        <v>1.0010283724341802</v>
      </c>
      <c r="AY236">
        <f t="shared" si="242"/>
        <v>4.5331929482608377E-2</v>
      </c>
      <c r="AZ236" t="str">
        <f t="shared" si="218"/>
        <v>1+3,13829531323796i</v>
      </c>
      <c r="BA236">
        <f t="shared" si="243"/>
        <v>3.2937664569746508</v>
      </c>
      <c r="BB236">
        <f t="shared" si="244"/>
        <v>1.2623236120924182</v>
      </c>
      <c r="BC236" s="41" t="str">
        <f t="shared" si="245"/>
        <v>-3,55411822112819+1,31269973601442i</v>
      </c>
      <c r="BD236">
        <f t="shared" si="246"/>
        <v>11.570012886157606</v>
      </c>
      <c r="BE236" s="43">
        <f t="shared" si="247"/>
        <v>159.72848711606667</v>
      </c>
      <c r="BF236" s="41" t="str">
        <f t="shared" si="248"/>
        <v>0,540762277564026+2,72808307841604i</v>
      </c>
      <c r="BG236" s="20">
        <f t="shared" si="249"/>
        <v>8.8845252051683659</v>
      </c>
      <c r="BH236" s="43">
        <f t="shared" si="250"/>
        <v>78.78813160128179</v>
      </c>
      <c r="BI236" s="41" t="str">
        <f t="shared" si="203"/>
        <v>1,4405302152235+8,67857437125412i</v>
      </c>
      <c r="BJ236" s="20">
        <f t="shared" si="251"/>
        <v>18.88700449433448</v>
      </c>
      <c r="BK236" s="43">
        <f t="shared" si="204"/>
        <v>80.575573492004423</v>
      </c>
      <c r="BL236">
        <f t="shared" si="252"/>
        <v>8.8845252051683659</v>
      </c>
      <c r="BM236" s="43">
        <f t="shared" si="253"/>
        <v>78.78813160128179</v>
      </c>
    </row>
    <row r="237" spans="14:65" x14ac:dyDescent="0.25">
      <c r="N237" s="9">
        <v>19</v>
      </c>
      <c r="O237" s="34">
        <f t="shared" si="254"/>
        <v>1548.8166189124822</v>
      </c>
      <c r="P237" s="33" t="str">
        <f t="shared" si="206"/>
        <v>54,631621870174</v>
      </c>
      <c r="Q237" s="4" t="str">
        <f t="shared" si="207"/>
        <v>1+77,5722366542624i</v>
      </c>
      <c r="R237" s="4">
        <f t="shared" si="219"/>
        <v>77.578681991542567</v>
      </c>
      <c r="S237" s="4">
        <f t="shared" si="220"/>
        <v>1.5579058307331819</v>
      </c>
      <c r="T237" s="4" t="str">
        <f t="shared" si="208"/>
        <v>1+0,194630036469329i</v>
      </c>
      <c r="U237" s="4">
        <f t="shared" si="221"/>
        <v>1.0187643746696546</v>
      </c>
      <c r="V237" s="4">
        <f t="shared" si="222"/>
        <v>0.19222684170036677</v>
      </c>
      <c r="W237" t="str">
        <f t="shared" si="209"/>
        <v>1-0,0387249432066041i</v>
      </c>
      <c r="X237" s="4">
        <f t="shared" si="223"/>
        <v>1.00074952971578</v>
      </c>
      <c r="Y237" s="4">
        <f t="shared" si="224"/>
        <v>-3.8705603023119782E-2</v>
      </c>
      <c r="Z237" t="str">
        <f t="shared" si="210"/>
        <v>0,999990404668324+0,00532049398759615i</v>
      </c>
      <c r="AA237" s="4">
        <f t="shared" si="225"/>
        <v>1.0000045585321051</v>
      </c>
      <c r="AB237" s="4">
        <f t="shared" si="226"/>
        <v>5.3204948358263624E-3</v>
      </c>
      <c r="AC237" s="47" t="str">
        <f t="shared" si="227"/>
        <v>0,115157123062188-0,708662193851187i</v>
      </c>
      <c r="AD237" s="20">
        <f t="shared" si="228"/>
        <v>-2.8780227718820983</v>
      </c>
      <c r="AE237" s="43">
        <f t="shared" si="229"/>
        <v>-80.770151837020904</v>
      </c>
      <c r="AF237" t="str">
        <f t="shared" si="211"/>
        <v>171,265703090588</v>
      </c>
      <c r="AG237" t="str">
        <f t="shared" si="212"/>
        <v>1+76,8298689968988i</v>
      </c>
      <c r="AH237">
        <f t="shared" si="230"/>
        <v>76.83637660692122</v>
      </c>
      <c r="AI237">
        <f t="shared" si="231"/>
        <v>1.5577812904725097</v>
      </c>
      <c r="AJ237" t="str">
        <f t="shared" si="213"/>
        <v>1+0,194630036469329i</v>
      </c>
      <c r="AK237">
        <f t="shared" si="232"/>
        <v>1.0187643746696546</v>
      </c>
      <c r="AL237">
        <f t="shared" si="233"/>
        <v>0.19222684170036677</v>
      </c>
      <c r="AM237" t="str">
        <f t="shared" si="214"/>
        <v>1-0,0122345473224104i</v>
      </c>
      <c r="AN237">
        <f t="shared" si="234"/>
        <v>1.0000748392736336</v>
      </c>
      <c r="AO237">
        <f t="shared" si="235"/>
        <v>-1.2233936937963596E-2</v>
      </c>
      <c r="AP237" s="41" t="str">
        <f t="shared" si="236"/>
        <v>0,435597324230884-2,22879366675979i</v>
      </c>
      <c r="AQ237">
        <f t="shared" si="237"/>
        <v>7.1241955193247728</v>
      </c>
      <c r="AR237" s="43">
        <f t="shared" si="238"/>
        <v>-78.941459563331932</v>
      </c>
      <c r="AS237" t="str">
        <f t="shared" si="215"/>
        <v>-0,0000166666666666667</v>
      </c>
      <c r="AT237" t="str">
        <f t="shared" si="216"/>
        <v>0,000014811345775316i</v>
      </c>
      <c r="AU237">
        <f t="shared" si="239"/>
        <v>1.4811345775316001E-5</v>
      </c>
      <c r="AV237">
        <f t="shared" si="240"/>
        <v>1.5707963267948966</v>
      </c>
      <c r="AW237" t="str">
        <f t="shared" si="217"/>
        <v>1+0,0464196473313841i</v>
      </c>
      <c r="AX237">
        <f t="shared" si="241"/>
        <v>1.0010768120670712</v>
      </c>
      <c r="AY237">
        <f t="shared" si="242"/>
        <v>4.6386348938794432E-2</v>
      </c>
      <c r="AZ237" t="str">
        <f t="shared" si="218"/>
        <v>1+3,21139560174394i</v>
      </c>
      <c r="BA237">
        <f t="shared" si="243"/>
        <v>3.3634895140167043</v>
      </c>
      <c r="BB237">
        <f t="shared" si="244"/>
        <v>1.2689220230720004</v>
      </c>
      <c r="BC237" s="41" t="str">
        <f t="shared" si="245"/>
        <v>-3,55377427945537+1,29022844063391i</v>
      </c>
      <c r="BD237">
        <f t="shared" si="246"/>
        <v>11.551538099206564</v>
      </c>
      <c r="BE237" s="43">
        <f t="shared" si="247"/>
        <v>160.04613443201359</v>
      </c>
      <c r="BF237" s="41" t="str">
        <f t="shared" si="248"/>
        <v>0,505093695274342+2,66700447264718i</v>
      </c>
      <c r="BG237" s="20">
        <f t="shared" si="249"/>
        <v>8.6735153273244716</v>
      </c>
      <c r="BH237" s="43">
        <f t="shared" si="250"/>
        <v>79.275982594992712</v>
      </c>
      <c r="BI237" s="41" t="str">
        <f t="shared" si="203"/>
        <v>1,32763841010692+8,48264966353068i</v>
      </c>
      <c r="BJ237" s="20">
        <f t="shared" si="251"/>
        <v>18.675733618531332</v>
      </c>
      <c r="BK237" s="43">
        <f t="shared" si="204"/>
        <v>81.10467486868167</v>
      </c>
      <c r="BL237">
        <f t="shared" si="252"/>
        <v>8.6735153273244716</v>
      </c>
      <c r="BM237" s="43">
        <f t="shared" si="253"/>
        <v>79.275982594992712</v>
      </c>
    </row>
    <row r="238" spans="14:65" x14ac:dyDescent="0.25">
      <c r="N238" s="9">
        <v>20</v>
      </c>
      <c r="O238" s="34">
        <f t="shared" si="254"/>
        <v>1584.8931924611156</v>
      </c>
      <c r="P238" s="33" t="str">
        <f t="shared" si="206"/>
        <v>54,631621870174</v>
      </c>
      <c r="Q238" s="4" t="str">
        <f t="shared" si="207"/>
        <v>1+79,379126163851i</v>
      </c>
      <c r="R238" s="4">
        <f t="shared" si="219"/>
        <v>79.385424799118979</v>
      </c>
      <c r="S238" s="4">
        <f t="shared" si="220"/>
        <v>1.5581992228446671</v>
      </c>
      <c r="T238" s="4" t="str">
        <f t="shared" si="208"/>
        <v>1+0,199163552406413i</v>
      </c>
      <c r="U238" s="4">
        <f t="shared" si="221"/>
        <v>1.0196401917378217</v>
      </c>
      <c r="V238" s="4">
        <f t="shared" si="222"/>
        <v>0.19659115409812589</v>
      </c>
      <c r="W238" t="str">
        <f t="shared" si="209"/>
        <v>1-0,0396269630097882i</v>
      </c>
      <c r="X238" s="4">
        <f t="shared" si="223"/>
        <v>1.0007848401116892</v>
      </c>
      <c r="Y238" s="4">
        <f t="shared" si="224"/>
        <v>-3.9606240507457785E-2</v>
      </c>
      <c r="Z238" t="str">
        <f t="shared" si="210"/>
        <v>0,999989952454274+0,00544442421297903i</v>
      </c>
      <c r="AA238" s="4">
        <f t="shared" si="225"/>
        <v>1.0000047733708635</v>
      </c>
      <c r="AB238" s="4">
        <f t="shared" si="226"/>
        <v>5.4444251218688971E-3</v>
      </c>
      <c r="AC238" s="47" t="str">
        <f t="shared" si="227"/>
        <v>0,114748006910148-0,692806983395231i</v>
      </c>
      <c r="AD238" s="20">
        <f t="shared" si="228"/>
        <v>-3.0702217667228284</v>
      </c>
      <c r="AE238" s="43">
        <f t="shared" si="229"/>
        <v>-80.595608694951167</v>
      </c>
      <c r="AF238" t="str">
        <f t="shared" si="211"/>
        <v>171,265703090588</v>
      </c>
      <c r="AG238" t="str">
        <f t="shared" si="212"/>
        <v>1+78,619466542375i</v>
      </c>
      <c r="AH238">
        <f t="shared" si="230"/>
        <v>78.625826033229188</v>
      </c>
      <c r="AI238">
        <f t="shared" si="231"/>
        <v>1.558077516547461</v>
      </c>
      <c r="AJ238" t="str">
        <f t="shared" si="213"/>
        <v>1+0,199163552406413i</v>
      </c>
      <c r="AK238">
        <f t="shared" si="232"/>
        <v>1.0196401917378217</v>
      </c>
      <c r="AL238">
        <f t="shared" si="233"/>
        <v>0.19659115409812589</v>
      </c>
      <c r="AM238" t="str">
        <f t="shared" si="214"/>
        <v>1-0,0125195265387498i</v>
      </c>
      <c r="AN238">
        <f t="shared" si="234"/>
        <v>1.0000783662017465</v>
      </c>
      <c r="AO238">
        <f t="shared" si="235"/>
        <v>-1.2518872502799384E-2</v>
      </c>
      <c r="AP238" s="41" t="str">
        <f t="shared" si="236"/>
        <v>0,434295003278881-2,17832116192142i</v>
      </c>
      <c r="AQ238">
        <f t="shared" si="237"/>
        <v>6.931723186176372</v>
      </c>
      <c r="AR238" s="43">
        <f t="shared" si="238"/>
        <v>-78.724700991638414</v>
      </c>
      <c r="AS238" t="str">
        <f t="shared" si="215"/>
        <v>-0,0000166666666666667</v>
      </c>
      <c r="AT238" t="str">
        <f t="shared" si="216"/>
        <v>0,000015156346338128i</v>
      </c>
      <c r="AU238">
        <f t="shared" si="239"/>
        <v>1.5156346338128E-5</v>
      </c>
      <c r="AV238">
        <f t="shared" si="240"/>
        <v>1.5707963267948966</v>
      </c>
      <c r="AW238" t="str">
        <f t="shared" si="217"/>
        <v>1+0,0475008998183494i</v>
      </c>
      <c r="AX238">
        <f t="shared" si="241"/>
        <v>1.0011275320774835</v>
      </c>
      <c r="AY238">
        <f t="shared" si="242"/>
        <v>4.7465222117838678E-2</v>
      </c>
      <c r="AZ238" t="str">
        <f t="shared" si="218"/>
        <v>1+3,28619861470581i</v>
      </c>
      <c r="BA238">
        <f t="shared" si="243"/>
        <v>3.4349819992678832</v>
      </c>
      <c r="BB238">
        <f t="shared" si="244"/>
        <v>1.275396543144852</v>
      </c>
      <c r="BC238" s="41" t="str">
        <f t="shared" si="245"/>
        <v>-3,55341419965186+1,26843973956471i</v>
      </c>
      <c r="BD238">
        <f t="shared" si="246"/>
        <v>11.533785784810437</v>
      </c>
      <c r="BE238" s="43">
        <f t="shared" si="247"/>
        <v>160.35528222677175</v>
      </c>
      <c r="BF238" s="41" t="str">
        <f t="shared" si="248"/>
        <v>0,471036712450189+2,60738110441526i</v>
      </c>
      <c r="BG238" s="20">
        <f t="shared" si="249"/>
        <v>8.4635640180876042</v>
      </c>
      <c r="BH238" s="43">
        <f t="shared" si="250"/>
        <v>79.759673531820582</v>
      </c>
      <c r="BI238" s="41" t="str">
        <f t="shared" si="203"/>
        <v>1,21983909582688+8,29135438902703i</v>
      </c>
      <c r="BJ238" s="20">
        <f t="shared" si="251"/>
        <v>18.465508970986811</v>
      </c>
      <c r="BK238" s="43">
        <f t="shared" si="204"/>
        <v>81.630581235133306</v>
      </c>
      <c r="BL238">
        <f t="shared" si="252"/>
        <v>8.4635640180876042</v>
      </c>
      <c r="BM238" s="43">
        <f t="shared" si="253"/>
        <v>79.759673531820582</v>
      </c>
    </row>
    <row r="239" spans="14:65" x14ac:dyDescent="0.25">
      <c r="N239" s="9">
        <v>21</v>
      </c>
      <c r="O239" s="34">
        <f t="shared" si="254"/>
        <v>1621.8100973589308</v>
      </c>
      <c r="P239" s="33" t="str">
        <f t="shared" si="206"/>
        <v>54,631621870174</v>
      </c>
      <c r="Q239" s="4" t="str">
        <f t="shared" si="207"/>
        <v>1+81,2281035368383i</v>
      </c>
      <c r="R239" s="4">
        <f t="shared" si="219"/>
        <v>81.234258808653664</v>
      </c>
      <c r="S239" s="4">
        <f t="shared" si="220"/>
        <v>1.5584859386320455</v>
      </c>
      <c r="T239" s="4" t="str">
        <f t="shared" si="208"/>
        <v>1+0,203802667495222i</v>
      </c>
      <c r="U239" s="4">
        <f t="shared" si="221"/>
        <v>1.0205564792201205</v>
      </c>
      <c r="V239" s="4">
        <f t="shared" si="222"/>
        <v>0.20104928272976733</v>
      </c>
      <c r="W239" t="str">
        <f t="shared" si="209"/>
        <v>1-0,0405499935532848i</v>
      </c>
      <c r="X239" s="4">
        <f t="shared" si="223"/>
        <v>1.0008218133000357</v>
      </c>
      <c r="Y239" s="4">
        <f t="shared" si="224"/>
        <v>-4.0527789976611439E-2</v>
      </c>
      <c r="Z239" t="str">
        <f t="shared" si="210"/>
        <v>0,999989478928032+0,00557124114414508i</v>
      </c>
      <c r="AA239" s="4">
        <f t="shared" si="225"/>
        <v>1.0000049983348298</v>
      </c>
      <c r="AB239" s="4">
        <f t="shared" si="226"/>
        <v>5.5712421180323076E-3</v>
      </c>
      <c r="AC239" s="47" t="str">
        <f t="shared" si="227"/>
        <v>0,114357166918566-0,677318645529477i</v>
      </c>
      <c r="AD239" s="20">
        <f t="shared" si="228"/>
        <v>-3.2620698513303492</v>
      </c>
      <c r="AE239" s="43">
        <f t="shared" si="229"/>
        <v>-80.416671318213957</v>
      </c>
      <c r="AF239" t="str">
        <f t="shared" si="211"/>
        <v>171,265703090588</v>
      </c>
      <c r="AG239" t="str">
        <f t="shared" si="212"/>
        <v>1+80,4507491696633i</v>
      </c>
      <c r="AH239">
        <f t="shared" si="230"/>
        <v>80.456963912144232</v>
      </c>
      <c r="AI239">
        <f t="shared" si="231"/>
        <v>1.5583670018507461</v>
      </c>
      <c r="AJ239" t="str">
        <f t="shared" si="213"/>
        <v>1+0,203802667495222i</v>
      </c>
      <c r="AK239">
        <f t="shared" si="232"/>
        <v>1.0205564792201205</v>
      </c>
      <c r="AL239">
        <f t="shared" si="233"/>
        <v>0.20104928272976733</v>
      </c>
      <c r="AM239" t="str">
        <f t="shared" si="214"/>
        <v>1-0,0128111437737755i</v>
      </c>
      <c r="AN239">
        <f t="shared" si="234"/>
        <v>1.0000820593355289</v>
      </c>
      <c r="AO239">
        <f t="shared" si="235"/>
        <v>-1.2810442964733972E-2</v>
      </c>
      <c r="AP239" s="41" t="str">
        <f t="shared" si="236"/>
        <v>0,433051277888929-2,12900214054811i</v>
      </c>
      <c r="AQ239">
        <f t="shared" si="237"/>
        <v>6.7395888460823139</v>
      </c>
      <c r="AR239" s="43">
        <f t="shared" si="238"/>
        <v>-78.502561079527723</v>
      </c>
      <c r="AS239" t="str">
        <f t="shared" si="215"/>
        <v>-0,0000166666666666667</v>
      </c>
      <c r="AT239" t="str">
        <f t="shared" si="216"/>
        <v>0,0000155093829963864i</v>
      </c>
      <c r="AU239">
        <f t="shared" si="239"/>
        <v>1.5509382996386399E-5</v>
      </c>
      <c r="AV239">
        <f t="shared" si="240"/>
        <v>1.5707963267948966</v>
      </c>
      <c r="AW239" t="str">
        <f t="shared" si="217"/>
        <v>1+0,0486073379111469i</v>
      </c>
      <c r="AX239">
        <f t="shared" si="241"/>
        <v>1.0011806396943603</v>
      </c>
      <c r="AY239">
        <f t="shared" si="242"/>
        <v>4.8569111000682785E-2</v>
      </c>
      <c r="AZ239" t="str">
        <f t="shared" si="218"/>
        <v>1+3,36274401367116i</v>
      </c>
      <c r="BA239">
        <f t="shared" si="243"/>
        <v>3.5082826712625681</v>
      </c>
      <c r="BB239">
        <f t="shared" si="244"/>
        <v>1.2817484331307283</v>
      </c>
      <c r="BC239" s="41" t="str">
        <f t="shared" si="245"/>
        <v>-3,55303722800999+1,24732197322473i</v>
      </c>
      <c r="BD239">
        <f t="shared" si="246"/>
        <v>11.516727285607606</v>
      </c>
      <c r="BE239" s="43">
        <f t="shared" si="247"/>
        <v>160.65597054085541</v>
      </c>
      <c r="BF239" s="41" t="str">
        <f t="shared" si="248"/>
        <v>0,438519158092311+2,54917856988479i</v>
      </c>
      <c r="BG239" s="20">
        <f t="shared" si="249"/>
        <v>8.2546574342772594</v>
      </c>
      <c r="BH239" s="43">
        <f t="shared" si="250"/>
        <v>80.239299222641478</v>
      </c>
      <c r="BI239" s="41" t="str">
        <f t="shared" si="203"/>
        <v>1,11690383897148+8,1045782383243i</v>
      </c>
      <c r="BJ239" s="20">
        <f t="shared" si="251"/>
        <v>18.256316131689921</v>
      </c>
      <c r="BK239" s="43">
        <f t="shared" si="204"/>
        <v>82.153409461327669</v>
      </c>
      <c r="BL239">
        <f t="shared" si="252"/>
        <v>8.2546574342772594</v>
      </c>
      <c r="BM239" s="43">
        <f t="shared" si="253"/>
        <v>80.239299222641478</v>
      </c>
    </row>
    <row r="240" spans="14:65" x14ac:dyDescent="0.25">
      <c r="N240" s="9">
        <v>22</v>
      </c>
      <c r="O240" s="34">
        <f t="shared" si="254"/>
        <v>1659.5869074375626</v>
      </c>
      <c r="P240" s="33" t="str">
        <f t="shared" si="206"/>
        <v>54,631621870174</v>
      </c>
      <c r="Q240" s="4" t="str">
        <f t="shared" si="207"/>
        <v>1+83,1201491255025i</v>
      </c>
      <c r="R240" s="4">
        <f t="shared" si="219"/>
        <v>83.126164296482315</v>
      </c>
      <c r="S240" s="4">
        <f t="shared" si="220"/>
        <v>1.5587661299271574</v>
      </c>
      <c r="T240" s="4" t="str">
        <f t="shared" si="208"/>
        <v>1+0,208549841455986i</v>
      </c>
      <c r="U240" s="4">
        <f t="shared" si="221"/>
        <v>1.0215150690867545</v>
      </c>
      <c r="V240" s="4">
        <f t="shared" si="222"/>
        <v>0.20560288217810041</v>
      </c>
      <c r="W240" t="str">
        <f t="shared" si="209"/>
        <v>1-0,0414945242401062i</v>
      </c>
      <c r="X240" s="4">
        <f t="shared" si="223"/>
        <v>1.0008605275171525</v>
      </c>
      <c r="Y240" s="4">
        <f t="shared" si="224"/>
        <v>-4.1470733783705124E-2</v>
      </c>
      <c r="Z240" t="str">
        <f t="shared" si="210"/>
        <v>0,999988983085187+0,00570101202110989i</v>
      </c>
      <c r="AA240" s="4">
        <f t="shared" si="225"/>
        <v>1.0000052339012089</v>
      </c>
      <c r="AB240" s="4">
        <f t="shared" si="226"/>
        <v>5.7010130646423275E-3</v>
      </c>
      <c r="AC240" s="47" t="str">
        <f t="shared" si="227"/>
        <v>0,113983774832604-0,662188998949919i</v>
      </c>
      <c r="AD240" s="20">
        <f t="shared" si="228"/>
        <v>-3.4535516255184029</v>
      </c>
      <c r="AE240" s="43">
        <f t="shared" si="229"/>
        <v>-80.23328509490625</v>
      </c>
      <c r="AF240" t="str">
        <f t="shared" si="211"/>
        <v>171,265703090588</v>
      </c>
      <c r="AG240" t="str">
        <f t="shared" si="212"/>
        <v>1+82,3246878490534i</v>
      </c>
      <c r="AH240">
        <f t="shared" si="230"/>
        <v>82.330761137281371</v>
      </c>
      <c r="AI240">
        <f t="shared" si="231"/>
        <v>1.5586498996771183</v>
      </c>
      <c r="AJ240" t="str">
        <f t="shared" si="213"/>
        <v>1+0,208549841455986i</v>
      </c>
      <c r="AK240">
        <f t="shared" si="232"/>
        <v>1.0215150690867545</v>
      </c>
      <c r="AL240">
        <f t="shared" si="233"/>
        <v>0.20560288217810041</v>
      </c>
      <c r="AM240" t="str">
        <f t="shared" si="214"/>
        <v>1-0,0131095536468058i</v>
      </c>
      <c r="AN240">
        <f t="shared" si="234"/>
        <v>1.000085926506727</v>
      </c>
      <c r="AO240">
        <f t="shared" si="235"/>
        <v>-1.3108802719873087E-2</v>
      </c>
      <c r="AP240" s="41" t="str">
        <f t="shared" si="236"/>
        <v>0,431863512456923-2,08081055254591i</v>
      </c>
      <c r="AQ240">
        <f t="shared" si="237"/>
        <v>6.547807295284426</v>
      </c>
      <c r="AR240" s="43">
        <f t="shared" si="238"/>
        <v>-78.274962655775767</v>
      </c>
      <c r="AS240" t="str">
        <f t="shared" si="215"/>
        <v>-0,0000166666666666667</v>
      </c>
      <c r="AT240" t="str">
        <f t="shared" si="216"/>
        <v>0,0000158706429348005i</v>
      </c>
      <c r="AU240">
        <f t="shared" si="239"/>
        <v>1.5870642934800501E-5</v>
      </c>
      <c r="AV240">
        <f t="shared" si="240"/>
        <v>1.5707963267948966</v>
      </c>
      <c r="AW240" t="str">
        <f t="shared" si="217"/>
        <v>1+0,0497395482578994i</v>
      </c>
      <c r="AX240">
        <f t="shared" si="241"/>
        <v>1.0012362471769087</v>
      </c>
      <c r="AY240">
        <f t="shared" si="242"/>
        <v>4.9698590116375022E-2</v>
      </c>
      <c r="AZ240" t="str">
        <f t="shared" si="218"/>
        <v>1+3,44107238402377i</v>
      </c>
      <c r="BA240">
        <f t="shared" si="243"/>
        <v>3.583431198180179</v>
      </c>
      <c r="BB240">
        <f t="shared" si="244"/>
        <v>1.2879790099092587</v>
      </c>
      <c r="BC240" s="41" t="str">
        <f t="shared" si="245"/>
        <v>-3,55264257595929+1,22686383018268i</v>
      </c>
      <c r="BD240">
        <f t="shared" si="246"/>
        <v>11.500334710592439</v>
      </c>
      <c r="BE240" s="43">
        <f t="shared" si="247"/>
        <v>160.94824190782009</v>
      </c>
      <c r="BF240" s="41" t="str">
        <f t="shared" si="248"/>
        <v>0,407472120117666+2,49236340157115i</v>
      </c>
      <c r="BG240" s="20">
        <f t="shared" si="249"/>
        <v>8.046783085074031</v>
      </c>
      <c r="BH240" s="43">
        <f t="shared" si="250"/>
        <v>80.714956812913826</v>
      </c>
      <c r="BI240" s="41" t="str">
        <f t="shared" si="203"/>
        <v>1,01861450302322+7,92221388448902i</v>
      </c>
      <c r="BJ240" s="20">
        <f t="shared" si="251"/>
        <v>18.048142005876862</v>
      </c>
      <c r="BK240" s="43">
        <f t="shared" si="204"/>
        <v>82.673279252044324</v>
      </c>
      <c r="BL240">
        <f t="shared" si="252"/>
        <v>8.046783085074031</v>
      </c>
      <c r="BM240" s="43">
        <f t="shared" si="253"/>
        <v>80.714956812913826</v>
      </c>
    </row>
    <row r="241" spans="14:65" x14ac:dyDescent="0.25">
      <c r="N241" s="9">
        <v>23</v>
      </c>
      <c r="O241" s="34">
        <f t="shared" si="254"/>
        <v>1698.2436524617447</v>
      </c>
      <c r="P241" s="33" t="str">
        <f t="shared" si="206"/>
        <v>54,631621870174</v>
      </c>
      <c r="Q241" s="4" t="str">
        <f t="shared" si="207"/>
        <v>1+85,0562661174576i</v>
      </c>
      <c r="R241" s="4">
        <f t="shared" si="219"/>
        <v>85.06214437600174</v>
      </c>
      <c r="S241" s="4">
        <f t="shared" si="220"/>
        <v>1.5590399451150581</v>
      </c>
      <c r="T241" s="4" t="str">
        <f t="shared" si="208"/>
        <v>1+0,213407591303172i</v>
      </c>
      <c r="U241" s="4">
        <f t="shared" si="221"/>
        <v>1.0225178727170601</v>
      </c>
      <c r="V241" s="4">
        <f t="shared" si="222"/>
        <v>0.21025361110540758</v>
      </c>
      <c r="W241" t="str">
        <f t="shared" si="209"/>
        <v>1-0,0424610558729244i</v>
      </c>
      <c r="X241" s="4">
        <f t="shared" si="223"/>
        <v>1.0009010646741483</v>
      </c>
      <c r="Y241" s="4">
        <f t="shared" si="224"/>
        <v>-4.2435565178907418E-2</v>
      </c>
      <c r="Z241" t="str">
        <f t="shared" si="210"/>
        <v>0,999988463873988+0,00583380565011007i</v>
      </c>
      <c r="AA241" s="4">
        <f t="shared" si="225"/>
        <v>1.0000054805696923</v>
      </c>
      <c r="AB241" s="4">
        <f t="shared" si="226"/>
        <v>5.8338067682679028E-3</v>
      </c>
      <c r="AC241" s="47" t="str">
        <f t="shared" si="227"/>
        <v>0,113627039339147-0,647410050474791i</v>
      </c>
      <c r="AD241" s="20">
        <f t="shared" si="228"/>
        <v>-3.6446510844615472</v>
      </c>
      <c r="AE241" s="43">
        <f t="shared" si="229"/>
        <v>-80.045395695995808</v>
      </c>
      <c r="AF241" t="str">
        <f t="shared" si="211"/>
        <v>171,265703090588</v>
      </c>
      <c r="AG241" t="str">
        <f t="shared" si="212"/>
        <v>1+84,2422761676366i</v>
      </c>
      <c r="AH241">
        <f t="shared" si="230"/>
        <v>84.248211220798936</v>
      </c>
      <c r="AI241">
        <f t="shared" si="231"/>
        <v>1.5589263598415206</v>
      </c>
      <c r="AJ241" t="str">
        <f t="shared" si="213"/>
        <v>1+0,213407591303172i</v>
      </c>
      <c r="AK241">
        <f t="shared" si="232"/>
        <v>1.0225178727170601</v>
      </c>
      <c r="AL241">
        <f t="shared" si="233"/>
        <v>0.21025361110540758</v>
      </c>
      <c r="AM241" t="str">
        <f t="shared" si="214"/>
        <v>1-0,0134149143787049i</v>
      </c>
      <c r="AN241">
        <f t="shared" si="234"/>
        <v>1.0000899759160613</v>
      </c>
      <c r="AO241">
        <f t="shared" si="235"/>
        <v>-1.3414109749909387E-2</v>
      </c>
      <c r="AP241" s="41" t="str">
        <f t="shared" si="236"/>
        <v>0,430729189857056-2,03372093896283i</v>
      </c>
      <c r="AQ241">
        <f t="shared" si="237"/>
        <v>6.3563939062956623</v>
      </c>
      <c r="AR241" s="43">
        <f t="shared" si="238"/>
        <v>-78.041828321482143</v>
      </c>
      <c r="AS241" t="str">
        <f t="shared" si="215"/>
        <v>-0,0000166666666666667</v>
      </c>
      <c r="AT241" t="str">
        <f t="shared" si="216"/>
        <v>0,0000162403176981714i</v>
      </c>
      <c r="AU241">
        <f t="shared" si="239"/>
        <v>1.62403176981714E-5</v>
      </c>
      <c r="AV241">
        <f t="shared" si="240"/>
        <v>1.5707963267948966</v>
      </c>
      <c r="AW241" t="str">
        <f t="shared" si="217"/>
        <v>1+0,0508981311715187i</v>
      </c>
      <c r="AX241">
        <f t="shared" si="241"/>
        <v>1.0012944720494332</v>
      </c>
      <c r="AY241">
        <f t="shared" si="242"/>
        <v>5.0854246795922965E-2</v>
      </c>
      <c r="AZ241" t="str">
        <f t="shared" si="218"/>
        <v>1+3,52122525650234i</v>
      </c>
      <c r="BA241">
        <f t="shared" si="243"/>
        <v>3.6604681813983815</v>
      </c>
      <c r="BB241">
        <f t="shared" si="244"/>
        <v>1.2940896413066616</v>
      </c>
      <c r="BC241" s="41" t="str">
        <f t="shared" si="245"/>
        <v>-3,55222941848624+1,20705434062518i</v>
      </c>
      <c r="BD241">
        <f t="shared" si="246"/>
        <v>11.484580928192798</v>
      </c>
      <c r="BE241" s="43">
        <f t="shared" si="247"/>
        <v>161.23214104674727</v>
      </c>
      <c r="BF241" s="41" t="str">
        <f t="shared" si="248"/>
        <v>0,377829799713952+2,43690303816692i</v>
      </c>
      <c r="BG241" s="20">
        <f t="shared" si="249"/>
        <v>7.8399298437312499</v>
      </c>
      <c r="BH241" s="43">
        <f t="shared" si="250"/>
        <v>81.186745350751465</v>
      </c>
      <c r="BI241" s="41" t="str">
        <f t="shared" si="203"/>
        <v>0,924762787384421+7,74415688662615i</v>
      </c>
      <c r="BJ241" s="20">
        <f t="shared" si="251"/>
        <v>17.84097483448846</v>
      </c>
      <c r="BK241" s="43">
        <f t="shared" si="204"/>
        <v>83.19031272526513</v>
      </c>
      <c r="BL241">
        <f t="shared" si="252"/>
        <v>7.8399298437312499</v>
      </c>
      <c r="BM241" s="43">
        <f t="shared" si="253"/>
        <v>81.186745350751465</v>
      </c>
    </row>
    <row r="242" spans="14:65" x14ac:dyDescent="0.25">
      <c r="N242" s="9">
        <v>24</v>
      </c>
      <c r="O242" s="34">
        <f t="shared" si="254"/>
        <v>1737.8008287493772</v>
      </c>
      <c r="P242" s="33" t="str">
        <f t="shared" si="206"/>
        <v>54,631621870174</v>
      </c>
      <c r="Q242" s="4" t="str">
        <f t="shared" si="207"/>
        <v>1+87,0374810675617i</v>
      </c>
      <c r="R242" s="4">
        <f t="shared" si="219"/>
        <v>87.043225529538844</v>
      </c>
      <c r="S242" s="4">
        <f t="shared" si="220"/>
        <v>1.5593075292118568</v>
      </c>
      <c r="T242" s="4" t="str">
        <f t="shared" si="208"/>
        <v>1+0,218378492680052i</v>
      </c>
      <c r="U242" s="4">
        <f t="shared" si="221"/>
        <v>1.0235668840213674</v>
      </c>
      <c r="V242" s="4">
        <f t="shared" si="222"/>
        <v>0.21500313027917825</v>
      </c>
      <c r="W242" t="str">
        <f t="shared" si="209"/>
        <v>1-0,0434501009196053i</v>
      </c>
      <c r="X242" s="4">
        <f t="shared" si="223"/>
        <v>1.0009435105289028</v>
      </c>
      <c r="Y242" s="4">
        <f t="shared" si="224"/>
        <v>-4.3422788539211811E-2</v>
      </c>
      <c r="Z242" t="str">
        <f t="shared" si="210"/>
        <v>0,999987920193118+0,00596969244008553i</v>
      </c>
      <c r="AA242" s="4">
        <f t="shared" si="225"/>
        <v>1.0000057388635262</v>
      </c>
      <c r="AB242" s="4">
        <f t="shared" si="226"/>
        <v>5.9696936382050269E-3</v>
      </c>
      <c r="AC242" s="47" t="str">
        <f t="shared" si="227"/>
        <v>0,113286204394265-0,632973990943531i</v>
      </c>
      <c r="AD242" s="20">
        <f t="shared" si="228"/>
        <v>-3.8353515999624346</v>
      </c>
      <c r="AE242" s="43">
        <f t="shared" si="229"/>
        <v>-79.852949208154484</v>
      </c>
      <c r="AF242" t="str">
        <f t="shared" si="211"/>
        <v>171,265703090588</v>
      </c>
      <c r="AG242" t="str">
        <f t="shared" si="212"/>
        <v>1+86,2045308561228i</v>
      </c>
      <c r="AH242">
        <f t="shared" si="230"/>
        <v>86.210330820176225</v>
      </c>
      <c r="AI242">
        <f t="shared" si="231"/>
        <v>1.5591965287576555</v>
      </c>
      <c r="AJ242" t="str">
        <f t="shared" si="213"/>
        <v>1+0,218378492680052i</v>
      </c>
      <c r="AK242">
        <f t="shared" si="232"/>
        <v>1.0235668840213674</v>
      </c>
      <c r="AL242">
        <f t="shared" si="233"/>
        <v>0.21500313027917825</v>
      </c>
      <c r="AM242" t="str">
        <f t="shared" si="214"/>
        <v>1-0,0137273878757751i</v>
      </c>
      <c r="AN242">
        <f t="shared" si="234"/>
        <v>1.0000942161506046</v>
      </c>
      <c r="AO242">
        <f t="shared" si="235"/>
        <v>-1.3726525704873871E-2</v>
      </c>
      <c r="AP242" s="41" t="str">
        <f t="shared" si="236"/>
        <v>0,429645906122025-1,98770841893282i</v>
      </c>
      <c r="AQ242">
        <f t="shared" si="237"/>
        <v>6.1653646453218762</v>
      </c>
      <c r="AR242" s="43">
        <f t="shared" si="238"/>
        <v>-77.803080572430744</v>
      </c>
      <c r="AS242" t="str">
        <f t="shared" si="215"/>
        <v>-0,0000166666666666667</v>
      </c>
      <c r="AT242" t="str">
        <f t="shared" si="216"/>
        <v>0,000016618603292952i</v>
      </c>
      <c r="AU242">
        <f t="shared" si="239"/>
        <v>1.6618603292952002E-5</v>
      </c>
      <c r="AV242">
        <f t="shared" si="240"/>
        <v>1.5707963267948966</v>
      </c>
      <c r="AW242" t="str">
        <f t="shared" si="217"/>
        <v>1+0,0520837009480019i</v>
      </c>
      <c r="AX242">
        <f t="shared" si="241"/>
        <v>1.0013554373470197</v>
      </c>
      <c r="AY242">
        <f t="shared" si="242"/>
        <v>5.2036681429356968E-2</v>
      </c>
      <c r="AZ242" t="str">
        <f t="shared" si="218"/>
        <v>1+3,60324512922086i</v>
      </c>
      <c r="BA242">
        <f t="shared" si="243"/>
        <v>3.7394351794427263</v>
      </c>
      <c r="BB242">
        <f t="shared" si="244"/>
        <v>1.3000817411941401</v>
      </c>
      <c r="BC242" s="41" t="str">
        <f t="shared" si="245"/>
        <v>-3,55179689248587+1,18788286996755i</v>
      </c>
      <c r="BD242">
        <f t="shared" si="246"/>
        <v>11.469439557490864</v>
      </c>
      <c r="BE242" s="43">
        <f t="shared" si="247"/>
        <v>161.50771456667462</v>
      </c>
      <c r="BF242" s="41" t="str">
        <f t="shared" si="248"/>
        <v>0,349529372247746+2,3827657956612i</v>
      </c>
      <c r="BG242" s="20">
        <f t="shared" si="249"/>
        <v>7.6340879575284193</v>
      </c>
      <c r="BH242" s="43">
        <f t="shared" si="250"/>
        <v>81.654765358520123</v>
      </c>
      <c r="BI242" s="41" t="str">
        <f t="shared" ref="BI242:BI305" si="255">IMPRODUCT(AP242,BC242)</f>
        <v>0,835149787107095+7,57030559756763i</v>
      </c>
      <c r="BJ242" s="20">
        <f t="shared" si="251"/>
        <v>17.634804202812738</v>
      </c>
      <c r="BK242" s="43">
        <f t="shared" ref="BK242:BK305" si="256">(180/PI())*IMARGUMENT(BI242)</f>
        <v>83.704633994243864</v>
      </c>
      <c r="BL242">
        <f t="shared" si="252"/>
        <v>7.6340879575284193</v>
      </c>
      <c r="BM242" s="43">
        <f t="shared" si="253"/>
        <v>81.654765358520123</v>
      </c>
    </row>
    <row r="243" spans="14:65" x14ac:dyDescent="0.25">
      <c r="N243" s="9">
        <v>25</v>
      </c>
      <c r="O243" s="34">
        <f t="shared" si="254"/>
        <v>1778.2794100389244</v>
      </c>
      <c r="P243" s="33" t="str">
        <f t="shared" si="206"/>
        <v>54,631621870174</v>
      </c>
      <c r="Q243" s="4" t="str">
        <f t="shared" si="207"/>
        <v>1+89,064844442205i</v>
      </c>
      <c r="R243" s="4">
        <f t="shared" si="219"/>
        <v>89.070458152600594</v>
      </c>
      <c r="S243" s="4">
        <f t="shared" si="220"/>
        <v>1.5595690239408209</v>
      </c>
      <c r="T243" s="4" t="str">
        <f t="shared" si="208"/>
        <v>1+0,223465181224332i</v>
      </c>
      <c r="U243" s="4">
        <f t="shared" si="221"/>
        <v>1.0246641826567491</v>
      </c>
      <c r="V243" s="4">
        <f t="shared" si="222"/>
        <v>0.21985310044702325</v>
      </c>
      <c r="W243" t="str">
        <f t="shared" si="209"/>
        <v>1-0,0444621837849238i</v>
      </c>
      <c r="X243" s="4">
        <f t="shared" si="223"/>
        <v>1.0009879548660534</v>
      </c>
      <c r="Y243" s="4">
        <f t="shared" si="224"/>
        <v>-4.4432919601864615E-2</v>
      </c>
      <c r="Z243" t="str">
        <f t="shared" si="210"/>
        <v>0,999987350889359+0,00610874444001094i</v>
      </c>
      <c r="AA243" s="4">
        <f t="shared" si="225"/>
        <v>1.0000060093306196</v>
      </c>
      <c r="AB243" s="4">
        <f t="shared" si="226"/>
        <v>6.1087457238098953E-3</v>
      </c>
      <c r="AC243" s="47" t="str">
        <f t="shared" si="227"/>
        <v>0,112960547624978-0,618873191204221i</v>
      </c>
      <c r="AD243" s="20">
        <f t="shared" si="228"/>
        <v>-4.0256359016699044</v>
      </c>
      <c r="AE243" s="43">
        <f t="shared" si="229"/>
        <v>-79.655892275389959</v>
      </c>
      <c r="AF243" t="str">
        <f t="shared" si="211"/>
        <v>171,265703090588</v>
      </c>
      <c r="AG243" t="str">
        <f t="shared" si="212"/>
        <v>1+88,2124923279209i</v>
      </c>
      <c r="AH243">
        <f t="shared" si="230"/>
        <v>88.218160277255294</v>
      </c>
      <c r="AI243">
        <f t="shared" si="231"/>
        <v>1.5594605495148075</v>
      </c>
      <c r="AJ243" t="str">
        <f t="shared" si="213"/>
        <v>1+0,223465181224332i</v>
      </c>
      <c r="AK243">
        <f t="shared" si="232"/>
        <v>1.0246641826567491</v>
      </c>
      <c r="AL243">
        <f t="shared" si="233"/>
        <v>0.21985310044702325</v>
      </c>
      <c r="AM243" t="str">
        <f t="shared" si="214"/>
        <v>1-0,0140471398156005i</v>
      </c>
      <c r="AN243">
        <f t="shared" si="234"/>
        <v>1.0000986562019765</v>
      </c>
      <c r="AO243">
        <f t="shared" si="235"/>
        <v>-1.4046215987757332E-2</v>
      </c>
      <c r="AP243" s="41" t="str">
        <f t="shared" si="236"/>
        <v>0,42861136536157-1,94274867689688i</v>
      </c>
      <c r="AQ243">
        <f t="shared" si="237"/>
        <v>5.9747360896723611</v>
      </c>
      <c r="AR243" s="43">
        <f t="shared" si="238"/>
        <v>-77.558641930098119</v>
      </c>
      <c r="AS243" t="str">
        <f t="shared" si="215"/>
        <v>-0,0000166666666666667</v>
      </c>
      <c r="AT243" t="str">
        <f t="shared" si="216"/>
        <v>0,0000170057002911716i</v>
      </c>
      <c r="AU243">
        <f t="shared" si="239"/>
        <v>1.70057002911716E-5</v>
      </c>
      <c r="AV243">
        <f t="shared" si="240"/>
        <v>1.5707963267948966</v>
      </c>
      <c r="AW243" t="str">
        <f t="shared" si="217"/>
        <v>1+0,053296886192137i</v>
      </c>
      <c r="AX243">
        <f t="shared" si="241"/>
        <v>1.0014192718725645</v>
      </c>
      <c r="AY243">
        <f t="shared" si="242"/>
        <v>5.3246507725881381E-2</v>
      </c>
      <c r="AZ243" t="str">
        <f t="shared" si="218"/>
        <v>1+3,68717549020148i</v>
      </c>
      <c r="BA243">
        <f t="shared" si="243"/>
        <v>3.8203747323453139</v>
      </c>
      <c r="BB243">
        <f t="shared" si="244"/>
        <v>1.3059567647994839</v>
      </c>
      <c r="BC243" s="41" t="str">
        <f t="shared" si="245"/>
        <v>-3,55134409504216+1,16933911260234i</v>
      </c>
      <c r="BD243">
        <f t="shared" si="246"/>
        <v>11.454884957754253</v>
      </c>
      <c r="BE243" s="43">
        <f t="shared" si="247"/>
        <v>161.77501068306583</v>
      </c>
      <c r="BF243" s="41" t="str">
        <f t="shared" si="248"/>
        <v>0,322510854435428+2,32992083968187i</v>
      </c>
      <c r="BG243" s="20">
        <f t="shared" si="249"/>
        <v>7.4292490560843314</v>
      </c>
      <c r="BH243" s="43">
        <f t="shared" si="250"/>
        <v>82.119118407675856</v>
      </c>
      <c r="BI243" s="41" t="str">
        <f t="shared" si="255"/>
        <v>0,749585572407198+7,40056107547188i</v>
      </c>
      <c r="BJ243" s="20">
        <f t="shared" si="251"/>
        <v>17.429621047426611</v>
      </c>
      <c r="BK243" s="43">
        <f t="shared" si="256"/>
        <v>84.216368752967711</v>
      </c>
      <c r="BL243">
        <f t="shared" si="252"/>
        <v>7.4292490560843314</v>
      </c>
      <c r="BM243" s="43">
        <f t="shared" si="253"/>
        <v>82.119118407675856</v>
      </c>
    </row>
    <row r="244" spans="14:65" x14ac:dyDescent="0.25">
      <c r="N244" s="9">
        <v>26</v>
      </c>
      <c r="O244" s="34">
        <f t="shared" si="254"/>
        <v>1819.7008586099832</v>
      </c>
      <c r="P244" s="33" t="str">
        <f t="shared" si="206"/>
        <v>54,631621870174</v>
      </c>
      <c r="Q244" s="4" t="str">
        <f t="shared" si="207"/>
        <v>1+91,1394311762832i</v>
      </c>
      <c r="R244" s="4">
        <f t="shared" si="219"/>
        <v>91.144917110810198</v>
      </c>
      <c r="S244" s="4">
        <f t="shared" si="220"/>
        <v>1.5598245678067875</v>
      </c>
      <c r="T244" s="4" t="str">
        <f t="shared" si="208"/>
        <v>1+0,228670353965606i</v>
      </c>
      <c r="U244" s="4">
        <f t="shared" si="221"/>
        <v>1.0258119373368373</v>
      </c>
      <c r="V244" s="4">
        <f t="shared" si="222"/>
        <v>0.22480518005426375</v>
      </c>
      <c r="W244" t="str">
        <f t="shared" si="209"/>
        <v>1-0,0454978410886112i</v>
      </c>
      <c r="X244" s="4">
        <f t="shared" si="223"/>
        <v>1.0010344916853389</v>
      </c>
      <c r="Y244" s="4">
        <f t="shared" si="224"/>
        <v>-4.5466485701413366E-2</v>
      </c>
      <c r="Z244" t="str">
        <f t="shared" si="210"/>
        <v>0,999986754755141+0,00625103537709717i</v>
      </c>
      <c r="AA244" s="4">
        <f t="shared" si="225"/>
        <v>1.000006292544704</v>
      </c>
      <c r="AB244" s="4">
        <f t="shared" si="226"/>
        <v>6.251036752702192E-3</v>
      </c>
      <c r="AC244" s="47" t="str">
        <f t="shared" si="227"/>
        <v>0,112649378801956-0,605100198187874i</v>
      </c>
      <c r="AD244" s="20">
        <f t="shared" si="228"/>
        <v>-4.215486058306583</v>
      </c>
      <c r="AE244" s="43">
        <f t="shared" si="229"/>
        <v>-79.454172249852604</v>
      </c>
      <c r="AF244" t="str">
        <f t="shared" si="211"/>
        <v>171,265703090588</v>
      </c>
      <c r="AG244" t="str">
        <f t="shared" si="212"/>
        <v>1+90,2672252307806i</v>
      </c>
      <c r="AH244">
        <f t="shared" si="230"/>
        <v>90.272764169845118</v>
      </c>
      <c r="AI244">
        <f t="shared" si="231"/>
        <v>1.5597185619529601</v>
      </c>
      <c r="AJ244" t="str">
        <f t="shared" si="213"/>
        <v>1+0,228670353965606i</v>
      </c>
      <c r="AK244">
        <f t="shared" si="232"/>
        <v>1.0258119373368373</v>
      </c>
      <c r="AL244">
        <f t="shared" si="233"/>
        <v>0.22480518005426375</v>
      </c>
      <c r="AM244" t="str">
        <f t="shared" si="214"/>
        <v>1-0,0143743397348919i</v>
      </c>
      <c r="AN244">
        <f t="shared" si="234"/>
        <v>1.0001033054853954</v>
      </c>
      <c r="AO244">
        <f t="shared" si="235"/>
        <v>-1.4373349841045635E-2</v>
      </c>
      <c r="AP244" s="41" t="str">
        <f t="shared" si="236"/>
        <v>0,4276233749087-1,89881795009624i</v>
      </c>
      <c r="AQ244">
        <f t="shared" si="237"/>
        <v>5.7845254450982422</v>
      </c>
      <c r="AR244" s="43">
        <f t="shared" si="238"/>
        <v>-77.308435081687733</v>
      </c>
      <c r="AS244" t="str">
        <f t="shared" si="215"/>
        <v>-0,0000166666666666667</v>
      </c>
      <c r="AT244" t="str">
        <f t="shared" si="216"/>
        <v>0,0000174018139367827i</v>
      </c>
      <c r="AU244">
        <f t="shared" si="239"/>
        <v>1.7401813936782701E-5</v>
      </c>
      <c r="AV244">
        <f t="shared" si="240"/>
        <v>1.5707963267948966</v>
      </c>
      <c r="AW244" t="str">
        <f t="shared" si="217"/>
        <v>1+0,0545383301507983i</v>
      </c>
      <c r="AX244">
        <f t="shared" si="241"/>
        <v>1.0014861104656607</v>
      </c>
      <c r="AY244">
        <f t="shared" si="242"/>
        <v>5.4484352976991952E-2</v>
      </c>
      <c r="AZ244" t="str">
        <f t="shared" si="218"/>
        <v>1+3,7730608404325i</v>
      </c>
      <c r="BA244">
        <f t="shared" si="243"/>
        <v>3.9033303864271089</v>
      </c>
      <c r="BB244">
        <f t="shared" si="244"/>
        <v>1.3117162042322292</v>
      </c>
      <c r="BC244" s="41" t="str">
        <f t="shared" si="245"/>
        <v>-3,55087008163431+1,15141308577958i</v>
      </c>
      <c r="BD244">
        <f t="shared" si="246"/>
        <v>11.440892216436787</v>
      </c>
      <c r="BE244" s="43">
        <f t="shared" si="247"/>
        <v>162.03407894634438</v>
      </c>
      <c r="BF244" s="41" t="str">
        <f t="shared" si="248"/>
        <v>0,29671697749878+2,27833815899383i</v>
      </c>
      <c r="BG244" s="20">
        <f t="shared" si="249"/>
        <v>7.2254061581302178</v>
      </c>
      <c r="BH244" s="43">
        <f t="shared" si="250"/>
        <v>82.579906696491776</v>
      </c>
      <c r="BI244" s="41" t="str">
        <f t="shared" si="255"/>
        <v>0,667888787083173+7,23482699912203i</v>
      </c>
      <c r="BJ244" s="20">
        <f t="shared" si="251"/>
        <v>17.225417661535026</v>
      </c>
      <c r="BK244" s="43">
        <f t="shared" si="256"/>
        <v>84.725643864656661</v>
      </c>
      <c r="BL244">
        <f t="shared" si="252"/>
        <v>7.2254061581302178</v>
      </c>
      <c r="BM244" s="43">
        <f t="shared" si="253"/>
        <v>82.579906696491776</v>
      </c>
    </row>
    <row r="245" spans="14:65" x14ac:dyDescent="0.25">
      <c r="N245" s="9">
        <v>27</v>
      </c>
      <c r="O245" s="34">
        <f t="shared" si="254"/>
        <v>1862.0871366628687</v>
      </c>
      <c r="P245" s="33" t="str">
        <f t="shared" si="206"/>
        <v>54,631621870174</v>
      </c>
      <c r="Q245" s="4" t="str">
        <f t="shared" si="207"/>
        <v>1+93,2623412431446i</v>
      </c>
      <c r="R245" s="4">
        <f t="shared" si="219"/>
        <v>93.267702309817594</v>
      </c>
      <c r="S245" s="4">
        <f t="shared" si="220"/>
        <v>1.5600742961689189</v>
      </c>
      <c r="T245" s="4" t="str">
        <f t="shared" si="208"/>
        <v>1+0,233996770755364i</v>
      </c>
      <c r="U245" s="4">
        <f t="shared" si="221"/>
        <v>1.027012409235613</v>
      </c>
      <c r="V245" s="4">
        <f t="shared" si="222"/>
        <v>0.22986102279768975</v>
      </c>
      <c r="W245" t="str">
        <f t="shared" si="209"/>
        <v>1-0,0465576219498792i</v>
      </c>
      <c r="X245" s="4">
        <f t="shared" si="223"/>
        <v>1.0010832193986812</v>
      </c>
      <c r="Y245" s="4">
        <f t="shared" si="224"/>
        <v>-4.6524026010328984E-2</v>
      </c>
      <c r="Z245" t="str">
        <f t="shared" si="210"/>
        <v>0,999986130525982+0,00639664069588261i</v>
      </c>
      <c r="AA245" s="4">
        <f t="shared" si="225"/>
        <v>1.000006589106551</v>
      </c>
      <c r="AB245" s="4">
        <f t="shared" si="226"/>
        <v>6.396642169858348E-3</v>
      </c>
      <c r="AC245" s="47" t="str">
        <f t="shared" si="227"/>
        <v>0,11235203837996-0,591647731068097i</v>
      </c>
      <c r="AD245" s="20">
        <f t="shared" si="228"/>
        <v>-4.4048834589688948</v>
      </c>
      <c r="AE245" s="43">
        <f t="shared" si="229"/>
        <v>-79.24773735219047</v>
      </c>
      <c r="AF245" t="str">
        <f t="shared" si="211"/>
        <v>171,265703090588</v>
      </c>
      <c r="AG245" t="str">
        <f t="shared" si="212"/>
        <v>1+92,3698190112861i</v>
      </c>
      <c r="AH245">
        <f t="shared" si="230"/>
        <v>92.375231876178546</v>
      </c>
      <c r="AI245">
        <f t="shared" si="231"/>
        <v>1.5599707027362362</v>
      </c>
      <c r="AJ245" t="str">
        <f t="shared" si="213"/>
        <v>1+0,233996770755364i</v>
      </c>
      <c r="AK245">
        <f t="shared" si="232"/>
        <v>1.027012409235613</v>
      </c>
      <c r="AL245">
        <f t="shared" si="233"/>
        <v>0.22986102279768975</v>
      </c>
      <c r="AM245" t="str">
        <f t="shared" si="214"/>
        <v>1-0,0147091611193776i</v>
      </c>
      <c r="AN245">
        <f t="shared" si="234"/>
        <v>1.000108173859626</v>
      </c>
      <c r="AO245">
        <f t="shared" si="235"/>
        <v>-1.4708100435207348E-2</v>
      </c>
      <c r="AP245" s="41" t="str">
        <f t="shared" si="236"/>
        <v>0,426679840683449-1,85589301633293i</v>
      </c>
      <c r="AQ245">
        <f t="shared" si="237"/>
        <v>5.5947505629930081</v>
      </c>
      <c r="AR245" s="43">
        <f t="shared" si="238"/>
        <v>-77.052383029567338</v>
      </c>
      <c r="AS245" t="str">
        <f t="shared" si="215"/>
        <v>-0,0000166666666666667</v>
      </c>
      <c r="AT245" t="str">
        <f t="shared" si="216"/>
        <v>0,0000178071542544833i</v>
      </c>
      <c r="AU245">
        <f t="shared" si="239"/>
        <v>1.7807154254483299E-5</v>
      </c>
      <c r="AV245">
        <f t="shared" si="240"/>
        <v>1.5707963267948966</v>
      </c>
      <c r="AW245" t="str">
        <f t="shared" si="217"/>
        <v>1+0,055808691054006i</v>
      </c>
      <c r="AX245">
        <f t="shared" si="241"/>
        <v>1.0015560942838706</v>
      </c>
      <c r="AY245">
        <f t="shared" si="242"/>
        <v>5.5750858322410897E-2</v>
      </c>
      <c r="AZ245" t="str">
        <f t="shared" si="218"/>
        <v>1+3,86094671746351i</v>
      </c>
      <c r="BA245">
        <f t="shared" si="243"/>
        <v>3.988346719518284</v>
      </c>
      <c r="BB245">
        <f t="shared" si="244"/>
        <v>1.317361584221536</v>
      </c>
      <c r="BC245" s="41" t="str">
        <f t="shared" si="245"/>
        <v>-3,55037386426696+1,13409512361256i</v>
      </c>
      <c r="BD245">
        <f t="shared" si="246"/>
        <v>11.427437135802414</v>
      </c>
      <c r="BE245" s="43">
        <f t="shared" si="247"/>
        <v>162.28496998245595</v>
      </c>
      <c r="BF245" s="41" t="str">
        <f t="shared" si="248"/>
        <v>0,272093066039436+2,22798854009166i</v>
      </c>
      <c r="BG245" s="20">
        <f t="shared" si="249"/>
        <v>7.0225536768335104</v>
      </c>
      <c r="BH245" s="43">
        <f t="shared" si="250"/>
        <v>83.037232630265478</v>
      </c>
      <c r="BI245" s="41" t="str">
        <f t="shared" si="255"/>
        <v>0,589886264997673+7,07300958672689i</v>
      </c>
      <c r="BJ245" s="20">
        <f t="shared" si="251"/>
        <v>17.022187698795424</v>
      </c>
      <c r="BK245" s="43">
        <f t="shared" si="256"/>
        <v>85.232586952888639</v>
      </c>
      <c r="BL245">
        <f t="shared" si="252"/>
        <v>7.0225536768335104</v>
      </c>
      <c r="BM245" s="43">
        <f t="shared" si="253"/>
        <v>83.037232630265478</v>
      </c>
    </row>
    <row r="246" spans="14:65" x14ac:dyDescent="0.25">
      <c r="N246" s="9">
        <v>28</v>
      </c>
      <c r="O246" s="34">
        <f t="shared" si="254"/>
        <v>1905.4607179632501</v>
      </c>
      <c r="P246" s="33" t="str">
        <f t="shared" si="206"/>
        <v>54,631621870174</v>
      </c>
      <c r="Q246" s="4" t="str">
        <f t="shared" si="207"/>
        <v>1+95,434700237807i</v>
      </c>
      <c r="R246" s="4">
        <f t="shared" si="219"/>
        <v>95.439939278480679</v>
      </c>
      <c r="S246" s="4">
        <f t="shared" si="220"/>
        <v>1.5603183413118336</v>
      </c>
      <c r="T246" s="4" t="str">
        <f t="shared" si="208"/>
        <v>1+0,239447255730292i</v>
      </c>
      <c r="U246" s="4">
        <f t="shared" si="221"/>
        <v>1.0282679554847403</v>
      </c>
      <c r="V246" s="4">
        <f t="shared" si="222"/>
        <v>0.23502227500907402</v>
      </c>
      <c r="W246" t="str">
        <f t="shared" si="209"/>
        <v>1-0,0476420882785683i</v>
      </c>
      <c r="X246" s="4">
        <f t="shared" si="223"/>
        <v>1.001134241036407</v>
      </c>
      <c r="Y246" s="4">
        <f t="shared" si="224"/>
        <v>-4.7606091783145732E-2</v>
      </c>
      <c r="Z246" t="str">
        <f t="shared" si="210"/>
        <v>0,999985476877809+0,00654563759823462i</v>
      </c>
      <c r="AA246" s="4">
        <f t="shared" si="225"/>
        <v>1.0000068996452509</v>
      </c>
      <c r="AB246" s="4">
        <f t="shared" si="226"/>
        <v>6.5456391776150639E-3</v>
      </c>
      <c r="AC246" s="47" t="str">
        <f t="shared" si="227"/>
        <v>0,112067896102988-0,578508677504659i</v>
      </c>
      <c r="AD246" s="20">
        <f t="shared" si="228"/>
        <v>-4.5938087945686785</v>
      </c>
      <c r="AE246" s="43">
        <f t="shared" si="229"/>
        <v>-79.036536841817707</v>
      </c>
      <c r="AF246" t="str">
        <f t="shared" si="211"/>
        <v>171,265703090588</v>
      </c>
      <c r="AG246" t="str">
        <f t="shared" si="212"/>
        <v>1+94,5213884924914i</v>
      </c>
      <c r="AH246">
        <f t="shared" si="230"/>
        <v>94.526678152511451</v>
      </c>
      <c r="AI246">
        <f t="shared" si="231"/>
        <v>1.560217105424704</v>
      </c>
      <c r="AJ246" t="str">
        <f t="shared" si="213"/>
        <v>1+0,239447255730292i</v>
      </c>
      <c r="AK246">
        <f t="shared" si="232"/>
        <v>1.0282679554847403</v>
      </c>
      <c r="AL246">
        <f t="shared" si="233"/>
        <v>0.23502227500907402</v>
      </c>
      <c r="AM246" t="str">
        <f t="shared" si="214"/>
        <v>1-0,0150517814957878i</v>
      </c>
      <c r="AN246">
        <f t="shared" si="234"/>
        <v>1.0001132716478653</v>
      </c>
      <c r="AO246">
        <f t="shared" si="235"/>
        <v>-1.5050644959174717E-2</v>
      </c>
      <c r="AP246" s="41" t="str">
        <f t="shared" si="236"/>
        <v>0,425778762764455-1,8139511819931i</v>
      </c>
      <c r="AQ246">
        <f t="shared" si="237"/>
        <v>5.4054299573831868</v>
      </c>
      <c r="AR246" s="43">
        <f t="shared" si="238"/>
        <v>-76.790409250481019</v>
      </c>
      <c r="AS246" t="str">
        <f t="shared" si="215"/>
        <v>-0,0000166666666666667</v>
      </c>
      <c r="AT246" t="str">
        <f t="shared" si="216"/>
        <v>0,0000182219361610752i</v>
      </c>
      <c r="AU246">
        <f t="shared" si="239"/>
        <v>1.8221936161075201E-5</v>
      </c>
      <c r="AV246">
        <f t="shared" si="240"/>
        <v>1.5707963267948966</v>
      </c>
      <c r="AW246" t="str">
        <f t="shared" si="217"/>
        <v>1+0,0571086424639264i</v>
      </c>
      <c r="AX246">
        <f t="shared" si="241"/>
        <v>1.0016293710969504</v>
      </c>
      <c r="AY246">
        <f t="shared" si="242"/>
        <v>5.7046679018671061E-2</v>
      </c>
      <c r="AZ246" t="str">
        <f t="shared" si="218"/>
        <v>1+3,95087971954982i</v>
      </c>
      <c r="BA246">
        <f t="shared" si="243"/>
        <v>4.0754693666312916</v>
      </c>
      <c r="BB246">
        <f t="shared" si="244"/>
        <v>1.3228944580649042</v>
      </c>
      <c r="BC246" s="41" t="str">
        <f t="shared" si="245"/>
        <v>-3,54985440952019+1,1173758712028i</v>
      </c>
      <c r="BD246">
        <f t="shared" si="246"/>
        <v>11.414496218312326</v>
      </c>
      <c r="BE246" s="43">
        <f t="shared" si="247"/>
        <v>162.52773524535786</v>
      </c>
      <c r="BF246" s="41" t="str">
        <f t="shared" si="248"/>
        <v>0,248586922378306+2,17884354282755i</v>
      </c>
      <c r="BG246" s="20">
        <f t="shared" si="249"/>
        <v>6.8206874237436566</v>
      </c>
      <c r="BH246" s="43">
        <f t="shared" si="250"/>
        <v>83.491198403540125</v>
      </c>
      <c r="BI246" s="41" t="str">
        <f t="shared" si="255"/>
        <v>0,515412663819437+6,91501751803615i</v>
      </c>
      <c r="BJ246" s="20">
        <f t="shared" si="251"/>
        <v>16.81992617569551</v>
      </c>
      <c r="BK246" s="43">
        <f t="shared" si="256"/>
        <v>85.737325994876841</v>
      </c>
      <c r="BL246">
        <f t="shared" si="252"/>
        <v>6.8206874237436566</v>
      </c>
      <c r="BM246" s="43">
        <f t="shared" si="253"/>
        <v>83.491198403540125</v>
      </c>
    </row>
    <row r="247" spans="14:65" x14ac:dyDescent="0.25">
      <c r="N247" s="9">
        <v>29</v>
      </c>
      <c r="O247" s="34">
        <f t="shared" si="254"/>
        <v>1949.8445997580463</v>
      </c>
      <c r="P247" s="33" t="str">
        <f t="shared" si="206"/>
        <v>54,631621870174</v>
      </c>
      <c r="Q247" s="4" t="str">
        <f t="shared" si="207"/>
        <v>1+97,6576599737617i</v>
      </c>
      <c r="R247" s="4">
        <f t="shared" si="219"/>
        <v>97.662779765634653</v>
      </c>
      <c r="S247" s="4">
        <f t="shared" si="220"/>
        <v>1.5605568325151511</v>
      </c>
      <c r="T247" s="4" t="str">
        <f t="shared" si="208"/>
        <v>1+0,245024698809664i</v>
      </c>
      <c r="U247" s="4">
        <f t="shared" si="221"/>
        <v>1.0295810327636998</v>
      </c>
      <c r="V247" s="4">
        <f t="shared" si="222"/>
        <v>0.24029057286222513</v>
      </c>
      <c r="W247" t="str">
        <f t="shared" si="209"/>
        <v>1-0,0487518150730798i</v>
      </c>
      <c r="X247" s="4">
        <f t="shared" si="223"/>
        <v>1.0011876644630215</v>
      </c>
      <c r="Y247" s="4">
        <f t="shared" si="224"/>
        <v>-4.8713246604059741E-2</v>
      </c>
      <c r="Z247" t="str">
        <f t="shared" si="210"/>
        <v>0,999984792424147+0,00669810508428287i</v>
      </c>
      <c r="AA247" s="4">
        <f t="shared" si="225"/>
        <v>1.0000072248195433</v>
      </c>
      <c r="AB247" s="4">
        <f t="shared" si="226"/>
        <v>6.6981067766049025E-3</v>
      </c>
      <c r="AC247" s="47" t="str">
        <f t="shared" si="227"/>
        <v>0,111796349671163-0,565676089969406i</v>
      </c>
      <c r="AD247" s="20">
        <f t="shared" si="228"/>
        <v>-4.7822420394938927</v>
      </c>
      <c r="AE247" s="43">
        <f t="shared" si="229"/>
        <v>-78.820521197456003</v>
      </c>
      <c r="AF247" t="str">
        <f t="shared" si="211"/>
        <v>171,265703090588</v>
      </c>
      <c r="AG247" t="str">
        <f t="shared" si="212"/>
        <v>1+96,7230744650126i</v>
      </c>
      <c r="AH247">
        <f t="shared" si="230"/>
        <v>96.728243724180032</v>
      </c>
      <c r="AI247">
        <f t="shared" si="231"/>
        <v>1.5604579005445807</v>
      </c>
      <c r="AJ247" t="str">
        <f t="shared" si="213"/>
        <v>1+0,245024698809664i</v>
      </c>
      <c r="AK247">
        <f t="shared" si="232"/>
        <v>1.0295810327636998</v>
      </c>
      <c r="AL247">
        <f t="shared" si="233"/>
        <v>0.24029057286222513</v>
      </c>
      <c r="AM247" t="str">
        <f t="shared" si="214"/>
        <v>1-0,0154023825259807i</v>
      </c>
      <c r="AN247">
        <f t="shared" si="234"/>
        <v>1.0001186096596126</v>
      </c>
      <c r="AO247">
        <f t="shared" si="235"/>
        <v>-1.5401164712858942E-2</v>
      </c>
      <c r="AP247" s="41" t="str">
        <f t="shared" si="236"/>
        <v>0,424918231159094-1,77297027032811i</v>
      </c>
      <c r="AQ247">
        <f t="shared" si="237"/>
        <v>5.2165828216286485</v>
      </c>
      <c r="AR247" s="43">
        <f t="shared" si="238"/>
        <v>-76.522437864896034</v>
      </c>
      <c r="AS247" t="str">
        <f t="shared" si="215"/>
        <v>-0,0000166666666666667</v>
      </c>
      <c r="AT247" t="str">
        <f t="shared" si="216"/>
        <v>0,0000186463795794155i</v>
      </c>
      <c r="AU247">
        <f t="shared" si="239"/>
        <v>1.8646379579415501E-5</v>
      </c>
      <c r="AV247">
        <f t="shared" si="240"/>
        <v>1.5707963267948966</v>
      </c>
      <c r="AW247" t="str">
        <f t="shared" si="217"/>
        <v>1+0,0584388736320026i</v>
      </c>
      <c r="AX247">
        <f t="shared" si="241"/>
        <v>1.0017060955945996</v>
      </c>
      <c r="AY247">
        <f t="shared" si="242"/>
        <v>5.837248471017057E-2</v>
      </c>
      <c r="AZ247" t="str">
        <f t="shared" si="218"/>
        <v>1+4,04290753035946i</v>
      </c>
      <c r="BA247">
        <f t="shared" si="243"/>
        <v>4.1647450461027304</v>
      </c>
      <c r="BB247">
        <f t="shared" si="244"/>
        <v>1.3283164037850375</v>
      </c>
      <c r="BC247" s="41" t="str">
        <f t="shared" si="245"/>
        <v>-3,54931063651746+1,10124627887785i</v>
      </c>
      <c r="BD247">
        <f t="shared" si="246"/>
        <v>11.402046650912204</v>
      </c>
      <c r="BE247" s="43">
        <f t="shared" si="247"/>
        <v>162.76242678129324</v>
      </c>
      <c r="BF247" s="41" t="str">
        <f t="shared" si="248"/>
        <v>0,226148716117296+2,13087547701952i</v>
      </c>
      <c r="BG247" s="20">
        <f t="shared" si="249"/>
        <v>6.6198046114183295</v>
      </c>
      <c r="BH247" s="43">
        <f t="shared" si="250"/>
        <v>83.941905583837254</v>
      </c>
      <c r="BI247" s="41" t="str">
        <f t="shared" si="255"/>
        <v>0,44431011525673+6,76076185959611i</v>
      </c>
      <c r="BJ247" s="20">
        <f t="shared" si="251"/>
        <v>16.618629472540857</v>
      </c>
      <c r="BK247" s="43">
        <f t="shared" si="256"/>
        <v>86.239988916397195</v>
      </c>
      <c r="BL247">
        <f t="shared" si="252"/>
        <v>6.6198046114183295</v>
      </c>
      <c r="BM247" s="43">
        <f t="shared" si="253"/>
        <v>83.941905583837254</v>
      </c>
    </row>
    <row r="248" spans="14:65" x14ac:dyDescent="0.25">
      <c r="N248" s="9">
        <v>30</v>
      </c>
      <c r="O248" s="34">
        <f t="shared" si="254"/>
        <v>1995.2623149688804</v>
      </c>
      <c r="P248" s="33" t="str">
        <f t="shared" si="206"/>
        <v>54,631621870174</v>
      </c>
      <c r="Q248" s="4" t="str">
        <f t="shared" si="207"/>
        <v>1+99,9323990936872i</v>
      </c>
      <c r="R248" s="4">
        <f t="shared" si="219"/>
        <v>99.937402350771421</v>
      </c>
      <c r="S248" s="4">
        <f t="shared" si="220"/>
        <v>1.5607898961214826</v>
      </c>
      <c r="T248" s="4" t="str">
        <f t="shared" si="208"/>
        <v>1+0,250732057227632i</v>
      </c>
      <c r="U248" s="4">
        <f t="shared" si="221"/>
        <v>1.0309542009815957</v>
      </c>
      <c r="V248" s="4">
        <f t="shared" si="222"/>
        <v>0.24566753939756472</v>
      </c>
      <c r="W248" t="str">
        <f t="shared" si="209"/>
        <v>1-0,0498873907252498i</v>
      </c>
      <c r="X248" s="4">
        <f t="shared" si="223"/>
        <v>1.0012436026029699</v>
      </c>
      <c r="Y248" s="4">
        <f t="shared" si="224"/>
        <v>-4.9846066637911433E-2</v>
      </c>
      <c r="Z248" t="str">
        <f t="shared" si="210"/>
        <v>0,999984075713178+0,00685412399430676i</v>
      </c>
      <c r="AA248" s="4">
        <f t="shared" si="225"/>
        <v>1.0000075653192173</v>
      </c>
      <c r="AB248" s="4">
        <f t="shared" si="226"/>
        <v>6.8541258076461001E-3</v>
      </c>
      <c r="AC248" s="47" t="str">
        <f t="shared" si="227"/>
        <v>0,111536823466613-0,553143182153036i</v>
      </c>
      <c r="AD248" s="20">
        <f t="shared" si="228"/>
        <v>-4.9701624335720549</v>
      </c>
      <c r="AE248" s="43">
        <f t="shared" si="229"/>
        <v>-78.59964230828885</v>
      </c>
      <c r="AF248" t="str">
        <f t="shared" si="211"/>
        <v>171,265703090588</v>
      </c>
      <c r="AG248" t="str">
        <f t="shared" si="212"/>
        <v>1+98,9760442918971i</v>
      </c>
      <c r="AH248">
        <f t="shared" si="230"/>
        <v>98.981095890435441</v>
      </c>
      <c r="AI248">
        <f t="shared" si="231"/>
        <v>1.5606932156568669</v>
      </c>
      <c r="AJ248" t="str">
        <f t="shared" si="213"/>
        <v>1+0,250732057227632i</v>
      </c>
      <c r="AK248">
        <f t="shared" si="232"/>
        <v>1.0309542009815957</v>
      </c>
      <c r="AL248">
        <f t="shared" si="233"/>
        <v>0.24566753939756472</v>
      </c>
      <c r="AM248" t="str">
        <f t="shared" si="214"/>
        <v>1-0,0157611501032636i</v>
      </c>
      <c r="AN248">
        <f t="shared" si="234"/>
        <v>1.0001241992135665</v>
      </c>
      <c r="AO248">
        <f t="shared" si="235"/>
        <v>-1.5759845201745379E-2</v>
      </c>
      <c r="AP248" s="41" t="str">
        <f t="shared" si="236"/>
        <v>0,424096421763273-1,73292860998862i</v>
      </c>
      <c r="AQ248">
        <f t="shared" si="237"/>
        <v>5.0282290447455527</v>
      </c>
      <c r="AR248" s="43">
        <f t="shared" si="238"/>
        <v>-76.248393816834422</v>
      </c>
      <c r="AS248" t="str">
        <f t="shared" si="215"/>
        <v>-0,0000166666666666667</v>
      </c>
      <c r="AT248" t="str">
        <f t="shared" si="216"/>
        <v>0,0000190807095550228i</v>
      </c>
      <c r="AU248">
        <f t="shared" si="239"/>
        <v>1.9080709555022801E-5</v>
      </c>
      <c r="AV248">
        <f t="shared" si="240"/>
        <v>1.5707963267948966</v>
      </c>
      <c r="AW248" t="str">
        <f t="shared" si="217"/>
        <v>1+0,0598000898644089i</v>
      </c>
      <c r="AX248">
        <f t="shared" si="241"/>
        <v>1.0017864297083443</v>
      </c>
      <c r="AY248">
        <f t="shared" si="242"/>
        <v>5.9728959702497218E-2</v>
      </c>
      <c r="AZ248" t="str">
        <f t="shared" si="218"/>
        <v>1+4,13707894425593i</v>
      </c>
      <c r="BA248">
        <f t="shared" si="243"/>
        <v>4.2562215862200787</v>
      </c>
      <c r="BB248">
        <f t="shared" si="244"/>
        <v>1.3336290204913419</v>
      </c>
      <c r="BC248" s="41" t="str">
        <f t="shared" si="245"/>
        <v>-3,54874141480814+1,08569759653531i</v>
      </c>
      <c r="BD248">
        <f t="shared" si="246"/>
        <v>11.390066288344627</v>
      </c>
      <c r="BE248" s="43">
        <f t="shared" si="247"/>
        <v>162.98909700465981</v>
      </c>
      <c r="BF248" s="41" t="str">
        <f t="shared" si="248"/>
        <v>0,20473087869133+2,08405737998813i</v>
      </c>
      <c r="BG248" s="20">
        <f t="shared" si="249"/>
        <v>6.4199038547725831</v>
      </c>
      <c r="BH248" s="43">
        <f t="shared" si="250"/>
        <v>84.38945469637099</v>
      </c>
      <c r="BI248" s="41" t="str">
        <f t="shared" si="255"/>
        <v>0,376427891048653+6,61015599298013i</v>
      </c>
      <c r="BJ248" s="20">
        <f t="shared" si="251"/>
        <v>16.418295333090182</v>
      </c>
      <c r="BK248" s="43">
        <f t="shared" si="256"/>
        <v>86.740703187825389</v>
      </c>
      <c r="BL248">
        <f t="shared" si="252"/>
        <v>6.4199038547725831</v>
      </c>
      <c r="BM248" s="43">
        <f t="shared" si="253"/>
        <v>84.38945469637099</v>
      </c>
    </row>
    <row r="249" spans="14:65" x14ac:dyDescent="0.25">
      <c r="N249" s="9">
        <v>31</v>
      </c>
      <c r="O249" s="34">
        <f t="shared" si="254"/>
        <v>2041.7379446695318</v>
      </c>
      <c r="P249" s="33" t="str">
        <f t="shared" si="206"/>
        <v>54,631621870174</v>
      </c>
      <c r="Q249" s="4" t="str">
        <f t="shared" si="207"/>
        <v>1+102,260123694373i</v>
      </c>
      <c r="R249" s="4">
        <f t="shared" si="219"/>
        <v>102.26501306893022</v>
      </c>
      <c r="S249" s="4">
        <f t="shared" si="220"/>
        <v>1.5610176556029012</v>
      </c>
      <c r="T249" s="4" t="str">
        <f t="shared" si="208"/>
        <v>1+0,256572357101172i</v>
      </c>
      <c r="U249" s="4">
        <f t="shared" si="221"/>
        <v>1.0323901270490974</v>
      </c>
      <c r="V249" s="4">
        <f t="shared" si="222"/>
        <v>0.25115478135843539</v>
      </c>
      <c r="W249" t="str">
        <f t="shared" si="209"/>
        <v>1-0,0510494173323199i</v>
      </c>
      <c r="X249" s="4">
        <f t="shared" si="223"/>
        <v>1.0013021736768424</v>
      </c>
      <c r="Y249" s="4">
        <f t="shared" si="224"/>
        <v>-5.100514088445695E-2</v>
      </c>
      <c r="Z249" t="str">
        <f t="shared" si="210"/>
        <v>0,999983325224661+0,00701377705159746i</v>
      </c>
      <c r="AA249" s="4">
        <f t="shared" si="225"/>
        <v>1.0000079218665718</v>
      </c>
      <c r="AB249" s="4">
        <f t="shared" si="226"/>
        <v>7.0137789946071866E-3</v>
      </c>
      <c r="AC249" s="47" t="str">
        <f t="shared" si="227"/>
        <v>0,111288767335628-0,540903325451346i</v>
      </c>
      <c r="AD249" s="20">
        <f t="shared" si="228"/>
        <v>-5.1575484644261067</v>
      </c>
      <c r="AE249" s="43">
        <f t="shared" si="229"/>
        <v>-78.373853676061259</v>
      </c>
      <c r="AF249" t="str">
        <f t="shared" si="211"/>
        <v>171,265703090588</v>
      </c>
      <c r="AG249" t="str">
        <f t="shared" si="212"/>
        <v>1+101,281492527568i</v>
      </c>
      <c r="AH249">
        <f t="shared" si="230"/>
        <v>101.28642914335471</v>
      </c>
      <c r="AI249">
        <f t="shared" si="231"/>
        <v>1.5609231754244492</v>
      </c>
      <c r="AJ249" t="str">
        <f t="shared" si="213"/>
        <v>1+0,256572357101172i</v>
      </c>
      <c r="AK249">
        <f t="shared" si="232"/>
        <v>1.0323901270490974</v>
      </c>
      <c r="AL249">
        <f t="shared" si="233"/>
        <v>0.25115478135843539</v>
      </c>
      <c r="AM249" t="str">
        <f t="shared" si="214"/>
        <v>1-0,0161282744509546i</v>
      </c>
      <c r="AN249">
        <f t="shared" si="234"/>
        <v>1.0001300521616003</v>
      </c>
      <c r="AO249">
        <f t="shared" si="235"/>
        <v>-1.6126876233606039E-2</v>
      </c>
      <c r="AP249" s="41" t="str">
        <f t="shared" si="236"/>
        <v>0,423311592502436-1,69380502380753i</v>
      </c>
      <c r="AQ249">
        <f t="shared" si="237"/>
        <v>4.8403892272602258</v>
      </c>
      <c r="AR249" s="43">
        <f t="shared" si="238"/>
        <v>-75.968203064525753</v>
      </c>
      <c r="AS249" t="str">
        <f t="shared" si="215"/>
        <v>-0,0000166666666666667</v>
      </c>
      <c r="AT249" t="str">
        <f t="shared" si="216"/>
        <v>0,0000195251563753993i</v>
      </c>
      <c r="AU249">
        <f t="shared" si="239"/>
        <v>1.95251563753993E-5</v>
      </c>
      <c r="AV249">
        <f t="shared" si="240"/>
        <v>1.5707963267948966</v>
      </c>
      <c r="AW249" t="str">
        <f t="shared" si="217"/>
        <v>1+0,0611930128960088i</v>
      </c>
      <c r="AX249">
        <f t="shared" si="241"/>
        <v>1.0018705429481849</v>
      </c>
      <c r="AY249">
        <f t="shared" si="242"/>
        <v>6.1116803237781972E-2</v>
      </c>
      <c r="AZ249" t="str">
        <f t="shared" si="218"/>
        <v>1+4,23344389216934i</v>
      </c>
      <c r="BA249">
        <f t="shared" si="243"/>
        <v>4.3499479523490727</v>
      </c>
      <c r="BB249">
        <f t="shared" si="244"/>
        <v>1.3388339249418422</v>
      </c>
      <c r="BC249" s="41" t="str">
        <f t="shared" si="245"/>
        <v>-3,54814556216117+1,07072136808619i</v>
      </c>
      <c r="BD249">
        <f t="shared" si="246"/>
        <v>11.378533635602871</v>
      </c>
      <c r="BE249" s="43">
        <f t="shared" si="247"/>
        <v>163.20779848524592</v>
      </c>
      <c r="BF249" s="41" t="str">
        <f t="shared" si="248"/>
        <v>0,184288002689339+2,03836299497264i</v>
      </c>
      <c r="BG249" s="20">
        <f t="shared" si="249"/>
        <v>6.2209851711767552</v>
      </c>
      <c r="BH249" s="43">
        <f t="shared" si="250"/>
        <v>84.833944809184658</v>
      </c>
      <c r="BI249" s="41" t="str">
        <f t="shared" si="255"/>
        <v>0,311622084013564+6,46311554583993i</v>
      </c>
      <c r="BJ249" s="20">
        <f t="shared" si="251"/>
        <v>16.218922862863089</v>
      </c>
      <c r="BK249" s="43">
        <f t="shared" si="256"/>
        <v>87.239595420720178</v>
      </c>
      <c r="BL249">
        <f t="shared" si="252"/>
        <v>6.2209851711767552</v>
      </c>
      <c r="BM249" s="43">
        <f t="shared" si="253"/>
        <v>84.833944809184658</v>
      </c>
    </row>
    <row r="250" spans="14:65" x14ac:dyDescent="0.25">
      <c r="N250" s="9">
        <v>32</v>
      </c>
      <c r="O250" s="34">
        <f t="shared" si="254"/>
        <v>2089.2961308540398</v>
      </c>
      <c r="P250" s="33" t="str">
        <f t="shared" si="206"/>
        <v>54,631621870174</v>
      </c>
      <c r="Q250" s="4" t="str">
        <f t="shared" si="207"/>
        <v>1+104,642067966216i</v>
      </c>
      <c r="R250" s="4">
        <f t="shared" si="219"/>
        <v>104.64684605016134</v>
      </c>
      <c r="S250" s="4">
        <f t="shared" si="220"/>
        <v>1.561240231625926</v>
      </c>
      <c r="T250" s="4" t="str">
        <f t="shared" si="208"/>
        <v>1+0,262548695034586i</v>
      </c>
      <c r="U250" s="4">
        <f t="shared" si="221"/>
        <v>1.0338915887385698</v>
      </c>
      <c r="V250" s="4">
        <f t="shared" si="222"/>
        <v>0.25675388583381753</v>
      </c>
      <c r="W250" t="str">
        <f t="shared" si="209"/>
        <v>1-0,0522385110161789i</v>
      </c>
      <c r="X250" s="4">
        <f t="shared" si="223"/>
        <v>1.0013635014484936</v>
      </c>
      <c r="Y250" s="4">
        <f t="shared" si="224"/>
        <v>-5.2191071435836255E-2</v>
      </c>
      <c r="Z250" t="str">
        <f t="shared" si="210"/>
        <v>0,99998253936671+0,00717714890631929i</v>
      </c>
      <c r="AA250" s="4">
        <f t="shared" si="225"/>
        <v>1.0000082952179534</v>
      </c>
      <c r="AB250" s="4">
        <f t="shared" si="226"/>
        <v>7.1771509882710945E-3</v>
      </c>
      <c r="AC250" s="47" t="str">
        <f t="shared" si="227"/>
        <v>0,111051655424563-0,528950045529365i</v>
      </c>
      <c r="AD250" s="20">
        <f t="shared" si="228"/>
        <v>-5.3443778503231947</v>
      </c>
      <c r="AE250" s="43">
        <f t="shared" si="229"/>
        <v>-78.143110628426399</v>
      </c>
      <c r="AF250" t="str">
        <f t="shared" si="211"/>
        <v>171,265703090588</v>
      </c>
      <c r="AG250" t="str">
        <f t="shared" si="212"/>
        <v>1+103,640641551196i</v>
      </c>
      <c r="AH250">
        <f t="shared" si="230"/>
        <v>103.64546580117963</v>
      </c>
      <c r="AI250">
        <f t="shared" si="231"/>
        <v>1.5611479016776992</v>
      </c>
      <c r="AJ250" t="str">
        <f t="shared" si="213"/>
        <v>1+0,262548695034586i</v>
      </c>
      <c r="AK250">
        <f t="shared" si="232"/>
        <v>1.0338915887385698</v>
      </c>
      <c r="AL250">
        <f t="shared" si="233"/>
        <v>0.25675388583381753</v>
      </c>
      <c r="AM250" t="str">
        <f t="shared" si="214"/>
        <v>1-0,0165039502232427i</v>
      </c>
      <c r="AN250">
        <f t="shared" si="234"/>
        <v>1.0001361809138649</v>
      </c>
      <c r="AO250">
        <f t="shared" si="235"/>
        <v>-1.6502452017378433E-2</v>
      </c>
      <c r="AP250" s="41" t="str">
        <f t="shared" si="236"/>
        <v>0,422562079645674-1,65557881782625i</v>
      </c>
      <c r="AQ250">
        <f t="shared" si="237"/>
        <v>4.6530846964880359</v>
      </c>
      <c r="AR250" s="43">
        <f t="shared" si="238"/>
        <v>-75.681792782187955</v>
      </c>
      <c r="AS250" t="str">
        <f t="shared" si="215"/>
        <v>-0,0000166666666666667</v>
      </c>
      <c r="AT250" t="str">
        <f t="shared" si="216"/>
        <v>0,0000199799556921319i</v>
      </c>
      <c r="AU250">
        <f t="shared" si="239"/>
        <v>1.9979955692131901E-5</v>
      </c>
      <c r="AV250">
        <f t="shared" si="240"/>
        <v>1.5707963267948966</v>
      </c>
      <c r="AW250" t="str">
        <f t="shared" si="217"/>
        <v>1+0,062618381273032i</v>
      </c>
      <c r="AX250">
        <f t="shared" si="241"/>
        <v>1.001958612754666</v>
      </c>
      <c r="AY250">
        <f t="shared" si="242"/>
        <v>6.2536729771847752E-2</v>
      </c>
      <c r="AZ250" t="str">
        <f t="shared" si="218"/>
        <v>1+4,33205346807067i</v>
      </c>
      <c r="BA250">
        <f t="shared" si="243"/>
        <v>4.4459742745795463</v>
      </c>
      <c r="BB250">
        <f t="shared" si="244"/>
        <v>1.3439327483008348</v>
      </c>
      <c r="BC250" s="41" t="str">
        <f t="shared" si="245"/>
        <v>-3,54752184226756+1,05630942599083i</v>
      </c>
      <c r="BD250">
        <f t="shared" si="246"/>
        <v>11.367427829636972</v>
      </c>
      <c r="BE250" s="43">
        <f t="shared" si="247"/>
        <v>163.41858374657841</v>
      </c>
      <c r="BF250" s="41" t="str">
        <f t="shared" si="248"/>
        <v>0,164776745732339+1,99376675038069i</v>
      </c>
      <c r="BG250" s="20">
        <f t="shared" si="249"/>
        <v>6.0230499793137602</v>
      </c>
      <c r="BH250" s="43">
        <f t="shared" si="250"/>
        <v>85.275473118152007</v>
      </c>
      <c r="BI250" s="41" t="str">
        <f t="shared" si="255"/>
        <v>0,24975530348359+6,31955832563014i</v>
      </c>
      <c r="BJ250" s="20">
        <f t="shared" si="251"/>
        <v>16.020512526125007</v>
      </c>
      <c r="BK250" s="43">
        <f t="shared" si="256"/>
        <v>87.736790964390451</v>
      </c>
      <c r="BL250">
        <f t="shared" si="252"/>
        <v>6.0230499793137602</v>
      </c>
      <c r="BM250" s="43">
        <f t="shared" si="253"/>
        <v>85.275473118152007</v>
      </c>
    </row>
    <row r="251" spans="14:65" x14ac:dyDescent="0.25">
      <c r="N251" s="9">
        <v>33</v>
      </c>
      <c r="O251" s="34">
        <f t="shared" si="254"/>
        <v>2137.9620895022344</v>
      </c>
      <c r="P251" s="33" t="str">
        <f t="shared" si="206"/>
        <v>54,631621870174</v>
      </c>
      <c r="Q251" s="4" t="str">
        <f t="shared" si="207"/>
        <v>1+107,079494847595i</v>
      </c>
      <c r="R251" s="4">
        <f t="shared" si="219"/>
        <v>107.08416417386898</v>
      </c>
      <c r="S251" s="4">
        <f t="shared" si="220"/>
        <v>1.5614577421150477</v>
      </c>
      <c r="T251" s="4" t="str">
        <f t="shared" si="208"/>
        <v>1+0,268664239761348i</v>
      </c>
      <c r="U251" s="4">
        <f t="shared" si="221"/>
        <v>1.0354614786299599</v>
      </c>
      <c r="V251" s="4">
        <f t="shared" si="222"/>
        <v>0.26246641670245041</v>
      </c>
      <c r="W251" t="str">
        <f t="shared" si="209"/>
        <v>1-0,0534553022500367i</v>
      </c>
      <c r="X251" s="4">
        <f t="shared" si="223"/>
        <v>1.0014277154835705</v>
      </c>
      <c r="Y251" s="4">
        <f t="shared" si="224"/>
        <v>-5.3404473737114114E-2</v>
      </c>
      <c r="Z251" t="str">
        <f t="shared" si="210"/>
        <v>0,999981716472415+0,00734432618039199i</v>
      </c>
      <c r="AA251" s="4">
        <f t="shared" si="225"/>
        <v>1.0000086861653559</v>
      </c>
      <c r="AB251" s="4">
        <f t="shared" si="226"/>
        <v>7.3443284112203961E-3</v>
      </c>
      <c r="AC251" s="47" t="str">
        <f t="shared" si="227"/>
        <v>0,110824985067038-0,517277018962058i</v>
      </c>
      <c r="AD251" s="20">
        <f t="shared" si="228"/>
        <v>-5.5306275236207547</v>
      </c>
      <c r="AE251" s="43">
        <f t="shared" si="229"/>
        <v>-77.907370543821486</v>
      </c>
      <c r="AF251" t="str">
        <f t="shared" si="211"/>
        <v>171,265703090588</v>
      </c>
      <c r="AG251" t="str">
        <f t="shared" si="212"/>
        <v>1+106,05474221482i</v>
      </c>
      <c r="AH251">
        <f t="shared" si="230"/>
        <v>106.05945665640533</v>
      </c>
      <c r="AI251">
        <f t="shared" si="231"/>
        <v>1.5613675134786063</v>
      </c>
      <c r="AJ251" t="str">
        <f t="shared" si="213"/>
        <v>1+0,268664239761348i</v>
      </c>
      <c r="AK251">
        <f t="shared" si="232"/>
        <v>1.0354614786299599</v>
      </c>
      <c r="AL251">
        <f t="shared" si="233"/>
        <v>0.26246641670245041</v>
      </c>
      <c r="AM251" t="str">
        <f t="shared" si="214"/>
        <v>1-0,0168883766083946i</v>
      </c>
      <c r="AN251">
        <f t="shared" si="234"/>
        <v>1.0001425984650723</v>
      </c>
      <c r="AO251">
        <f t="shared" si="235"/>
        <v>-1.6886771264249586E-2</v>
      </c>
      <c r="AP251" s="41" t="str">
        <f t="shared" si="236"/>
        <v>0,42184629428517-1,61822977056057i</v>
      </c>
      <c r="AQ251">
        <f t="shared" si="237"/>
        <v>4.4663375211313801</v>
      </c>
      <c r="AR251" s="43">
        <f t="shared" si="238"/>
        <v>-75.389091573231667</v>
      </c>
      <c r="AS251" t="str">
        <f t="shared" si="215"/>
        <v>-0,0000166666666666667</v>
      </c>
      <c r="AT251" t="str">
        <f t="shared" si="216"/>
        <v>0,0000204453486458386i</v>
      </c>
      <c r="AU251">
        <f t="shared" si="239"/>
        <v>2.0445348645838601E-5</v>
      </c>
      <c r="AV251">
        <f t="shared" si="240"/>
        <v>1.5707963267948966</v>
      </c>
      <c r="AW251" t="str">
        <f t="shared" si="217"/>
        <v>1+0,0640769507446579i</v>
      </c>
      <c r="AX251">
        <f t="shared" si="241"/>
        <v>1.002050824867049</v>
      </c>
      <c r="AY251">
        <f t="shared" si="242"/>
        <v>6.3989469252861295E-2</v>
      </c>
      <c r="AZ251" t="str">
        <f t="shared" si="218"/>
        <v>1+4,43295995606224i</v>
      </c>
      <c r="BA251">
        <f t="shared" si="243"/>
        <v>4.5443518759061057</v>
      </c>
      <c r="BB251">
        <f t="shared" si="244"/>
        <v>1.3489271330870045</v>
      </c>
      <c r="BC251" s="41" t="str">
        <f t="shared" si="245"/>
        <v>-3,54686896234741+1,04245388588004i</v>
      </c>
      <c r="BD251">
        <f t="shared" si="246"/>
        <v>11.356728620409873</v>
      </c>
      <c r="BE251" s="43">
        <f t="shared" si="247"/>
        <v>163.62150507509617</v>
      </c>
      <c r="BF251" s="41" t="str">
        <f t="shared" si="248"/>
        <v>0,146155738706548+1,95024373982785i</v>
      </c>
      <c r="BG251" s="20">
        <f t="shared" si="249"/>
        <v>5.8261010967891291</v>
      </c>
      <c r="BH251" s="43">
        <f t="shared" si="250"/>
        <v>85.714134531274723</v>
      </c>
      <c r="BI251" s="41" t="str">
        <f t="shared" si="255"/>
        <v>0,190696384486291+6,17940425586953i</v>
      </c>
      <c r="BJ251" s="20">
        <f t="shared" si="251"/>
        <v>15.823066141541256</v>
      </c>
      <c r="BK251" s="43">
        <f t="shared" si="256"/>
        <v>88.232413501864514</v>
      </c>
      <c r="BL251">
        <f t="shared" si="252"/>
        <v>5.8261010967891291</v>
      </c>
      <c r="BM251" s="43">
        <f t="shared" si="253"/>
        <v>85.714134531274723</v>
      </c>
    </row>
    <row r="252" spans="14:65" x14ac:dyDescent="0.25">
      <c r="N252" s="9">
        <v>34</v>
      </c>
      <c r="O252" s="34">
        <f t="shared" si="254"/>
        <v>2187.7616239495528</v>
      </c>
      <c r="P252" s="33" t="str">
        <f t="shared" si="206"/>
        <v>54,631621870174</v>
      </c>
      <c r="Q252" s="4" t="str">
        <f t="shared" si="207"/>
        <v>1+109,573696694507i</v>
      </c>
      <c r="R252" s="4">
        <f t="shared" si="219"/>
        <v>109.57825973841625</v>
      </c>
      <c r="S252" s="4">
        <f t="shared" si="220"/>
        <v>1.5616703023148351</v>
      </c>
      <c r="T252" s="4" t="str">
        <f t="shared" si="208"/>
        <v>1+0,274922233824224i</v>
      </c>
      <c r="U252" s="4">
        <f t="shared" si="221"/>
        <v>1.0371028081395313</v>
      </c>
      <c r="V252" s="4">
        <f t="shared" si="222"/>
        <v>0.26829391087399312</v>
      </c>
      <c r="W252" t="str">
        <f t="shared" si="209"/>
        <v>1-0,0547004361927122i</v>
      </c>
      <c r="X252" s="4">
        <f t="shared" si="223"/>
        <v>1.0014949514199625</v>
      </c>
      <c r="Y252" s="4">
        <f t="shared" si="224"/>
        <v>-5.4645976849770898E-2</v>
      </c>
      <c r="Z252" t="str">
        <f t="shared" si="210"/>
        <v>0,999980854796307+0,0075153975134192i</v>
      </c>
      <c r="AA252" s="4">
        <f t="shared" si="225"/>
        <v>1.0000090955381042</v>
      </c>
      <c r="AB252" s="4">
        <f t="shared" si="226"/>
        <v>7.5153999037689302E-3</v>
      </c>
      <c r="AC252" s="47" t="str">
        <f t="shared" si="227"/>
        <v>0,110608275720083-0,50587806995003i</v>
      </c>
      <c r="AD252" s="20">
        <f t="shared" si="228"/>
        <v>-5.7162736149266715</v>
      </c>
      <c r="AE252" s="43">
        <f t="shared" si="229"/>
        <v>-77.666593088121033</v>
      </c>
      <c r="AF252" t="str">
        <f t="shared" si="211"/>
        <v>171,265703090588</v>
      </c>
      <c r="AG252" t="str">
        <f t="shared" si="212"/>
        <v>1+108,525074506567i</v>
      </c>
      <c r="AH252">
        <f t="shared" si="230"/>
        <v>108.52968163896878</v>
      </c>
      <c r="AI252">
        <f t="shared" si="231"/>
        <v>1.5615821271834711</v>
      </c>
      <c r="AJ252" t="str">
        <f t="shared" si="213"/>
        <v>1+0,274922233824224i</v>
      </c>
      <c r="AK252">
        <f t="shared" si="232"/>
        <v>1.0371028081395313</v>
      </c>
      <c r="AL252">
        <f t="shared" si="233"/>
        <v>0.26829391087399312</v>
      </c>
      <c r="AM252" t="str">
        <f t="shared" si="214"/>
        <v>1-0,0172817574343684i</v>
      </c>
      <c r="AN252">
        <f t="shared" si="234"/>
        <v>1.0001493184220145</v>
      </c>
      <c r="AO252">
        <f t="shared" si="235"/>
        <v>-1.7280037290995344E-2</v>
      </c>
      <c r="AP252" s="41" t="str">
        <f t="shared" si="236"/>
        <v>0,421162718973649-1,58173812250092i</v>
      </c>
      <c r="AQ252">
        <f t="shared" si="237"/>
        <v>4.2801705250757092</v>
      </c>
      <c r="AR252" s="43">
        <f t="shared" si="238"/>
        <v>-75.090029695138142</v>
      </c>
      <c r="AS252" t="str">
        <f t="shared" si="215"/>
        <v>-0,0000166666666666667</v>
      </c>
      <c r="AT252" t="str">
        <f t="shared" si="216"/>
        <v>0,0000209215819940234i</v>
      </c>
      <c r="AU252">
        <f t="shared" si="239"/>
        <v>2.09215819940234E-5</v>
      </c>
      <c r="AV252">
        <f t="shared" si="240"/>
        <v>1.5707963267948966</v>
      </c>
      <c r="AW252" t="str">
        <f t="shared" si="217"/>
        <v>1+0,0655694946637275i</v>
      </c>
      <c r="AX252">
        <f t="shared" si="241"/>
        <v>1.0021473737083066</v>
      </c>
      <c r="AY252">
        <f t="shared" si="242"/>
        <v>6.5475767401197815E-2</v>
      </c>
      <c r="AZ252" t="str">
        <f t="shared" si="218"/>
        <v>1+4,5362168580997i</v>
      </c>
      <c r="BA252">
        <f t="shared" si="243"/>
        <v>4.6451333009621925</v>
      </c>
      <c r="BB252">
        <f t="shared" si="244"/>
        <v>1.3538187303064531</v>
      </c>
      <c r="BC252" s="41" t="str">
        <f t="shared" si="245"/>
        <v>-3,54618557065987+1,02914714125422i</v>
      </c>
      <c r="BD252">
        <f t="shared" si="246"/>
        <v>11.346416351399967</v>
      </c>
      <c r="BE252" s="43">
        <f t="shared" si="247"/>
        <v>163.81661433985062</v>
      </c>
      <c r="BF252" s="41" t="str">
        <f t="shared" si="248"/>
        <v>0,128385498158149+1,90776970292644i</v>
      </c>
      <c r="BG252" s="20">
        <f t="shared" si="249"/>
        <v>5.6301427364732817</v>
      </c>
      <c r="BH252" s="43">
        <f t="shared" si="250"/>
        <v>86.150021251729569</v>
      </c>
      <c r="BI252" s="41" t="str">
        <f t="shared" si="255"/>
        <v>0,134320110060407+6,04257531480998i</v>
      </c>
      <c r="BJ252" s="20">
        <f t="shared" si="251"/>
        <v>15.626586876475677</v>
      </c>
      <c r="BK252" s="43">
        <f t="shared" si="256"/>
        <v>88.726584644712489</v>
      </c>
      <c r="BL252">
        <f t="shared" si="252"/>
        <v>5.6301427364732817</v>
      </c>
      <c r="BM252" s="43">
        <f t="shared" si="253"/>
        <v>86.150021251729569</v>
      </c>
    </row>
    <row r="253" spans="14:65" x14ac:dyDescent="0.25">
      <c r="N253" s="9">
        <v>35</v>
      </c>
      <c r="O253" s="34">
        <f t="shared" si="254"/>
        <v>2238.7211385683418</v>
      </c>
      <c r="P253" s="33" t="str">
        <f t="shared" si="206"/>
        <v>54,631621870174</v>
      </c>
      <c r="Q253" s="4" t="str">
        <f t="shared" si="207"/>
        <v>1+112,125995965786i</v>
      </c>
      <c r="R253" s="4">
        <f t="shared" si="219"/>
        <v>112.13045514631366</v>
      </c>
      <c r="S253" s="4">
        <f t="shared" si="220"/>
        <v>1.5618780248506443</v>
      </c>
      <c r="T253" s="4" t="str">
        <f t="shared" si="208"/>
        <v>1+0,2813259952945i</v>
      </c>
      <c r="U253" s="4">
        <f t="shared" si="221"/>
        <v>1.0388187116279919</v>
      </c>
      <c r="V253" s="4">
        <f t="shared" si="222"/>
        <v>0.27423787432337976</v>
      </c>
      <c r="W253" t="str">
        <f t="shared" si="209"/>
        <v>1-0,0559745730307031i</v>
      </c>
      <c r="X253" s="4">
        <f t="shared" si="223"/>
        <v>1.0015653512507157</v>
      </c>
      <c r="Y253" s="4">
        <f t="shared" si="224"/>
        <v>-5.5916223717985755E-2</v>
      </c>
      <c r="Z253" t="str">
        <f t="shared" si="210"/>
        <v>0,999979952510655+0,00769045360968609i</v>
      </c>
      <c r="AA253" s="4">
        <f t="shared" si="225"/>
        <v>1.0000095242046119</v>
      </c>
      <c r="AB253" s="4">
        <f t="shared" si="226"/>
        <v>7.6904561709628316E-3</v>
      </c>
      <c r="AC253" s="47" t="str">
        <f t="shared" si="227"/>
        <v>0,110401067947017-0,494747167108934i</v>
      </c>
      <c r="AD253" s="20">
        <f t="shared" si="228"/>
        <v>-5.9012914380941819</v>
      </c>
      <c r="AE253" s="43">
        <f t="shared" si="229"/>
        <v>-77.42074046327869</v>
      </c>
      <c r="AF253" t="str">
        <f t="shared" si="211"/>
        <v>171,265703090588</v>
      </c>
      <c r="AG253" t="str">
        <f t="shared" si="212"/>
        <v>1+111,052948229317i</v>
      </c>
      <c r="AH253">
        <f t="shared" si="230"/>
        <v>111.05745049488289</v>
      </c>
      <c r="AI253">
        <f t="shared" si="231"/>
        <v>1.5617918565041968</v>
      </c>
      <c r="AJ253" t="str">
        <f t="shared" si="213"/>
        <v>1+0,2813259952945i</v>
      </c>
      <c r="AK253">
        <f t="shared" si="232"/>
        <v>1.0388187116279919</v>
      </c>
      <c r="AL253">
        <f t="shared" si="233"/>
        <v>0.27423787432337976</v>
      </c>
      <c r="AM253" t="str">
        <f t="shared" si="214"/>
        <v>1-0,0176843012768851i</v>
      </c>
      <c r="AN253">
        <f t="shared" si="234"/>
        <v>1.0001563550323778</v>
      </c>
      <c r="AO253">
        <f t="shared" si="235"/>
        <v>-1.7682458125615041E-2</v>
      </c>
      <c r="AP253" s="41" t="str">
        <f t="shared" si="236"/>
        <v>0,420509904512695-1,54608456584286i</v>
      </c>
      <c r="AQ253">
        <f t="shared" si="237"/>
        <v>4.0946073002587946</v>
      </c>
      <c r="AR253" s="43">
        <f t="shared" si="238"/>
        <v>-74.784539296237782</v>
      </c>
      <c r="AS253" t="str">
        <f t="shared" si="215"/>
        <v>-0,0000166666666666667</v>
      </c>
      <c r="AT253" t="str">
        <f t="shared" si="216"/>
        <v>0,0000214089082419114i</v>
      </c>
      <c r="AU253">
        <f t="shared" si="239"/>
        <v>2.14089082419114E-5</v>
      </c>
      <c r="AV253">
        <f t="shared" si="240"/>
        <v>1.5707963267948966</v>
      </c>
      <c r="AW253" t="str">
        <f t="shared" si="217"/>
        <v>1+0,0670968043967828i</v>
      </c>
      <c r="AX253">
        <f t="shared" si="241"/>
        <v>1.0022484627876764</v>
      </c>
      <c r="AY253">
        <f t="shared" si="242"/>
        <v>6.6996385990170909E-2</v>
      </c>
      <c r="AZ253" t="str">
        <f t="shared" si="218"/>
        <v>1+4,64187892235925i</v>
      </c>
      <c r="BA253">
        <f t="shared" si="243"/>
        <v>4.7483723453245608</v>
      </c>
      <c r="BB253">
        <f t="shared" si="244"/>
        <v>1.3586091967646676</v>
      </c>
      <c r="BC253" s="41" t="str">
        <f t="shared" si="245"/>
        <v>-3,54547025391092+1,01638185825257i</v>
      </c>
      <c r="BD253">
        <f t="shared" si="246"/>
        <v>11.336471939630448</v>
      </c>
      <c r="BE253" s="43">
        <f t="shared" si="247"/>
        <v>164.00396282240806</v>
      </c>
      <c r="BF253" s="41" t="str">
        <f t="shared" si="248"/>
        <v>0,111428342665226+1,86632100678448i</v>
      </c>
      <c r="BG253" s="20">
        <f t="shared" si="249"/>
        <v>5.4351805015362764</v>
      </c>
      <c r="BH253" s="43">
        <f t="shared" si="250"/>
        <v>86.583222359129394</v>
      </c>
      <c r="BI253" s="41" t="str">
        <f t="shared" si="255"/>
        <v>0,0805069461223025+5,90899547638886i</v>
      </c>
      <c r="BJ253" s="20">
        <f t="shared" si="251"/>
        <v>15.43107923988924</v>
      </c>
      <c r="BK253" s="43">
        <f t="shared" si="256"/>
        <v>89.219423526170289</v>
      </c>
      <c r="BL253">
        <f t="shared" si="252"/>
        <v>5.4351805015362764</v>
      </c>
      <c r="BM253" s="43">
        <f t="shared" si="253"/>
        <v>86.583222359129394</v>
      </c>
    </row>
    <row r="254" spans="14:65" x14ac:dyDescent="0.25">
      <c r="N254" s="9">
        <v>36</v>
      </c>
      <c r="O254" s="34">
        <f t="shared" si="254"/>
        <v>2290.8676527677749</v>
      </c>
      <c r="P254" s="33" t="str">
        <f t="shared" si="206"/>
        <v>54,631621870174</v>
      </c>
      <c r="Q254" s="4" t="str">
        <f t="shared" si="207"/>
        <v>1+114,737745924289i</v>
      </c>
      <c r="R254" s="4">
        <f t="shared" si="219"/>
        <v>114.74210360537538</v>
      </c>
      <c r="S254" s="4">
        <f t="shared" si="220"/>
        <v>1.5620810197879689</v>
      </c>
      <c r="T254" s="4" t="str">
        <f t="shared" si="208"/>
        <v>1+0,28787891953127i</v>
      </c>
      <c r="U254" s="4">
        <f t="shared" si="221"/>
        <v>1.0406124505840257</v>
      </c>
      <c r="V254" s="4">
        <f t="shared" si="222"/>
        <v>0.2802997779153415</v>
      </c>
      <c r="W254" t="str">
        <f t="shared" si="209"/>
        <v>1-0,0572783883282257i</v>
      </c>
      <c r="X254" s="4">
        <f t="shared" si="223"/>
        <v>1.0016390636199644</v>
      </c>
      <c r="Y254" s="4">
        <f t="shared" si="224"/>
        <v>-5.7215871437551982E-2</v>
      </c>
      <c r="Z254" t="str">
        <f t="shared" si="210"/>
        <v>0,99997900770159+0,007869587286252i</v>
      </c>
      <c r="AA254" s="4">
        <f t="shared" si="225"/>
        <v>1.0000099730742251</v>
      </c>
      <c r="AB254" s="4">
        <f t="shared" si="226"/>
        <v>7.8695900306767815E-3</v>
      </c>
      <c r="AC254" s="47" t="str">
        <f t="shared" si="227"/>
        <v>0,110202922444884-0,483878420331122i</v>
      </c>
      <c r="AD254" s="20">
        <f t="shared" si="228"/>
        <v>-6.0856554761836605</v>
      </c>
      <c r="AE254" s="43">
        <f t="shared" si="229"/>
        <v>-77.169777668129754</v>
      </c>
      <c r="AF254" t="str">
        <f t="shared" si="211"/>
        <v>171,265703090588</v>
      </c>
      <c r="AG254" t="str">
        <f t="shared" si="212"/>
        <v>1+113,639703695178i</v>
      </c>
      <c r="AH254">
        <f t="shared" si="230"/>
        <v>113.64410348068154</v>
      </c>
      <c r="AI254">
        <f t="shared" si="231"/>
        <v>1.5619968125682007</v>
      </c>
      <c r="AJ254" t="str">
        <f t="shared" si="213"/>
        <v>1+0,28787891953127i</v>
      </c>
      <c r="AK254">
        <f t="shared" si="232"/>
        <v>1.0406124505840257</v>
      </c>
      <c r="AL254">
        <f t="shared" si="233"/>
        <v>0.2802997779153415</v>
      </c>
      <c r="AM254" t="str">
        <f t="shared" si="214"/>
        <v>1-0,0180962215700181i</v>
      </c>
      <c r="AN254">
        <f t="shared" si="234"/>
        <v>1.0001637232149101</v>
      </c>
      <c r="AO254">
        <f t="shared" si="235"/>
        <v>-1.809424661531019E-2</v>
      </c>
      <c r="AP254" s="41" t="str">
        <f t="shared" si="236"/>
        <v>0,419886466885231-1,51125023444334i</v>
      </c>
      <c r="AQ254">
        <f t="shared" si="237"/>
        <v>3.9096722184784798</v>
      </c>
      <c r="AR254" s="43">
        <f t="shared" si="238"/>
        <v>-74.472554664567795</v>
      </c>
      <c r="AS254" t="str">
        <f t="shared" si="215"/>
        <v>-0,0000166666666666667</v>
      </c>
      <c r="AT254" t="str">
        <f t="shared" si="216"/>
        <v>0,0000219075857763296i</v>
      </c>
      <c r="AU254">
        <f t="shared" si="239"/>
        <v>2.1907585776329598E-5</v>
      </c>
      <c r="AV254">
        <f t="shared" si="240"/>
        <v>1.5707963267948966</v>
      </c>
      <c r="AW254" t="str">
        <f t="shared" si="217"/>
        <v>1+0,0686596897436603i</v>
      </c>
      <c r="AX254">
        <f t="shared" si="241"/>
        <v>1.0023543051215453</v>
      </c>
      <c r="AY254">
        <f t="shared" si="242"/>
        <v>6.8552103127270905E-2</v>
      </c>
      <c r="AZ254" t="str">
        <f t="shared" si="218"/>
        <v>1+4,75000217226596i</v>
      </c>
      <c r="BA254">
        <f t="shared" si="243"/>
        <v>4.8541240854073093</v>
      </c>
      <c r="BB254">
        <f t="shared" si="244"/>
        <v>1.3633001925513124</v>
      </c>
      <c r="BC254" s="41" t="str">
        <f t="shared" si="245"/>
        <v>-3,54472153455726+1,0041509704848i</v>
      </c>
      <c r="BD254">
        <f t="shared" si="246"/>
        <v>11.326876855306423</v>
      </c>
      <c r="BE254" s="43">
        <f t="shared" si="247"/>
        <v>164.1836010566245</v>
      </c>
      <c r="BF254" s="41" t="str">
        <f t="shared" si="248"/>
        <v>0,0952483130106242+1,82587462817857i</v>
      </c>
      <c r="BG254" s="20">
        <f t="shared" si="249"/>
        <v>5.2412213791227664</v>
      </c>
      <c r="BH254" s="43">
        <f t="shared" si="250"/>
        <v>87.013823388494743</v>
      </c>
      <c r="BI254" s="41" t="str">
        <f t="shared" si="255"/>
        <v>0,0291427883244193+5,77859065335225i</v>
      </c>
      <c r="BJ254" s="20">
        <f t="shared" si="251"/>
        <v>15.236549073784897</v>
      </c>
      <c r="BK254" s="43">
        <f t="shared" si="256"/>
        <v>89.711046392056673</v>
      </c>
      <c r="BL254">
        <f t="shared" si="252"/>
        <v>5.2412213791227664</v>
      </c>
      <c r="BM254" s="43">
        <f t="shared" si="253"/>
        <v>87.013823388494743</v>
      </c>
    </row>
    <row r="255" spans="14:65" x14ac:dyDescent="0.25">
      <c r="N255" s="9">
        <v>37</v>
      </c>
      <c r="O255" s="34">
        <f t="shared" si="254"/>
        <v>2344.2288153199238</v>
      </c>
      <c r="P255" s="33" t="str">
        <f t="shared" si="206"/>
        <v>54,631621870174</v>
      </c>
      <c r="Q255" s="4" t="str">
        <f t="shared" si="207"/>
        <v>1+117,410331354415i</v>
      </c>
      <c r="R255" s="4">
        <f t="shared" si="219"/>
        <v>117.41458984620918</v>
      </c>
      <c r="S255" s="4">
        <f t="shared" si="220"/>
        <v>1.5622793946904547</v>
      </c>
      <c r="T255" s="4" t="str">
        <f t="shared" si="208"/>
        <v>1+0,294584480981704i</v>
      </c>
      <c r="U255" s="4">
        <f t="shared" si="221"/>
        <v>1.0424874178786332</v>
      </c>
      <c r="V255" s="4">
        <f t="shared" si="222"/>
        <v>0.28648105301686061</v>
      </c>
      <c r="W255" t="str">
        <f t="shared" si="209"/>
        <v>1-0,0586125733854092i</v>
      </c>
      <c r="X255" s="4">
        <f t="shared" si="223"/>
        <v>1.001716244132469</v>
      </c>
      <c r="Y255" s="4">
        <f t="shared" si="224"/>
        <v>-5.8545591527237602E-2</v>
      </c>
      <c r="Z255" t="str">
        <f t="shared" si="210"/>
        <v>0,999978018365046+0,0080528935221634i</v>
      </c>
      <c r="AA255" s="4">
        <f t="shared" si="225"/>
        <v>1.0000104430991528</v>
      </c>
      <c r="AB255" s="4">
        <f t="shared" si="226"/>
        <v>8.0528964628308487E-3</v>
      </c>
      <c r="AC255" s="47" t="str">
        <f t="shared" si="227"/>
        <v>0,110013419114449-0,473266077718185i</v>
      </c>
      <c r="AD255" s="20">
        <f t="shared" si="228"/>
        <v>-6.2693393685299252</v>
      </c>
      <c r="AE255" s="43">
        <f t="shared" si="229"/>
        <v>-76.913672771469919</v>
      </c>
      <c r="AF255" t="str">
        <f t="shared" si="211"/>
        <v>171,265703090588</v>
      </c>
      <c r="AG255" t="str">
        <f t="shared" si="212"/>
        <v>1+116,286712436137i</v>
      </c>
      <c r="AH255">
        <f t="shared" si="230"/>
        <v>116.29101207404129</v>
      </c>
      <c r="AI255">
        <f t="shared" si="231"/>
        <v>1.5621971039769846</v>
      </c>
      <c r="AJ255" t="str">
        <f t="shared" si="213"/>
        <v>1+0,294584480981704i</v>
      </c>
      <c r="AK255">
        <f t="shared" si="232"/>
        <v>1.0424874178786332</v>
      </c>
      <c r="AL255">
        <f t="shared" si="233"/>
        <v>0.28648105301686061</v>
      </c>
      <c r="AM255" t="str">
        <f t="shared" si="214"/>
        <v>1-0,0185177367193593i</v>
      </c>
      <c r="AN255">
        <f t="shared" si="234"/>
        <v>1.0001714385910085</v>
      </c>
      <c r="AO255">
        <f t="shared" si="235"/>
        <v>-1.8515620536853312E-2</v>
      </c>
      <c r="AP255" s="41" t="str">
        <f t="shared" si="236"/>
        <v>0,419291084325694-1,47721669399807i</v>
      </c>
      <c r="AQ255">
        <f t="shared" si="237"/>
        <v>3.7253904419943935</v>
      </c>
      <c r="AR255" s="43">
        <f t="shared" si="238"/>
        <v>-74.154012488938832</v>
      </c>
      <c r="AS255" t="str">
        <f t="shared" si="215"/>
        <v>-0,0000166666666666667</v>
      </c>
      <c r="AT255" t="str">
        <f t="shared" si="216"/>
        <v>0,0000224178790027076i</v>
      </c>
      <c r="AU255">
        <f t="shared" si="239"/>
        <v>2.2417879002707599E-5</v>
      </c>
      <c r="AV255">
        <f t="shared" si="240"/>
        <v>1.5707963267948966</v>
      </c>
      <c r="AW255" t="str">
        <f t="shared" si="217"/>
        <v>1+0,0702589793668584i</v>
      </c>
      <c r="AX255">
        <f t="shared" si="241"/>
        <v>1.0024651236734736</v>
      </c>
      <c r="AY255">
        <f t="shared" si="242"/>
        <v>7.0143713535508703E-2</v>
      </c>
      <c r="AZ255" t="str">
        <f t="shared" si="218"/>
        <v>1+4,86064393619812i</v>
      </c>
      <c r="BA255">
        <f t="shared" si="243"/>
        <v>4.9624449089636808</v>
      </c>
      <c r="BB255">
        <f t="shared" si="244"/>
        <v>1.3678933786914826</v>
      </c>
      <c r="BC255" s="41" t="str">
        <f t="shared" si="245"/>
        <v>-3,54393786800214+0,992447673916784i</v>
      </c>
      <c r="BD255">
        <f t="shared" si="246"/>
        <v>11.317613101127668</v>
      </c>
      <c r="BE255" s="43">
        <f t="shared" si="247"/>
        <v>164.3555786779531</v>
      </c>
      <c r="BF255" s="41" t="str">
        <f t="shared" si="248"/>
        <v>0,0798110959870464+1,78640813636609i</v>
      </c>
      <c r="BG255" s="20">
        <f t="shared" si="249"/>
        <v>5.0482737325977576</v>
      </c>
      <c r="BH255" s="43">
        <f t="shared" si="250"/>
        <v>87.4419059064832</v>
      </c>
      <c r="BI255" s="41" t="str">
        <f t="shared" si="255"/>
        <v>-0,0198812796280794+5,65128864243777i</v>
      </c>
      <c r="BJ255" s="20">
        <f t="shared" si="251"/>
        <v>15.043003543122058</v>
      </c>
      <c r="BK255" s="43">
        <f t="shared" si="256"/>
        <v>90.201566189014287</v>
      </c>
      <c r="BL255">
        <f t="shared" si="252"/>
        <v>5.0482737325977576</v>
      </c>
      <c r="BM255" s="43">
        <f t="shared" si="253"/>
        <v>87.4419059064832</v>
      </c>
    </row>
    <row r="256" spans="14:65" x14ac:dyDescent="0.25">
      <c r="N256" s="9">
        <v>38</v>
      </c>
      <c r="O256" s="34">
        <f t="shared" si="254"/>
        <v>2398.8329190194918</v>
      </c>
      <c r="P256" s="33" t="str">
        <f t="shared" si="206"/>
        <v>54,631621870174</v>
      </c>
      <c r="Q256" s="4" t="str">
        <f t="shared" si="207"/>
        <v>1+120,145169296334i</v>
      </c>
      <c r="R256" s="4">
        <f t="shared" si="219"/>
        <v>120.149330856417</v>
      </c>
      <c r="S256" s="4">
        <f t="shared" si="220"/>
        <v>1.5624732546766122</v>
      </c>
      <c r="T256" s="4" t="str">
        <f t="shared" si="208"/>
        <v>1+0,30144623502324i</v>
      </c>
      <c r="U256" s="4">
        <f t="shared" si="221"/>
        <v>1.0444471420850776</v>
      </c>
      <c r="V256" s="4">
        <f t="shared" si="222"/>
        <v>0.29278308689628474</v>
      </c>
      <c r="W256" t="str">
        <f t="shared" si="209"/>
        <v>1-0,0599778356048305i</v>
      </c>
      <c r="X256" s="4">
        <f t="shared" si="223"/>
        <v>1.0017970556773663</v>
      </c>
      <c r="Y256" s="4">
        <f t="shared" si="224"/>
        <v>-5.9906070202379834E-2</v>
      </c>
      <c r="Z256" t="str">
        <f t="shared" si="210"/>
        <v>0,999976982402507+0,00824046950881287i</v>
      </c>
      <c r="AA256" s="4">
        <f t="shared" si="225"/>
        <v>1.0000109352764845</v>
      </c>
      <c r="AB256" s="4">
        <f t="shared" si="226"/>
        <v>8.2404726597536514E-3</v>
      </c>
      <c r="AC256" s="47" t="str">
        <f t="shared" si="227"/>
        <v>0,109832156170751-0,462904522583007i</v>
      </c>
      <c r="AD256" s="20">
        <f t="shared" si="228"/>
        <v>-6.4523158990628797</v>
      </c>
      <c r="AE256" s="43">
        <f t="shared" si="229"/>
        <v>-76.652397197477825</v>
      </c>
      <c r="AF256" t="str">
        <f t="shared" si="211"/>
        <v>171,265703090588</v>
      </c>
      <c r="AG256" t="str">
        <f t="shared" si="212"/>
        <v>1+118,995377931266i</v>
      </c>
      <c r="AH256">
        <f t="shared" si="230"/>
        <v>118.99957970095872</v>
      </c>
      <c r="AI256">
        <f t="shared" si="231"/>
        <v>1.5623928368633877</v>
      </c>
      <c r="AJ256" t="str">
        <f t="shared" si="213"/>
        <v>1+0,30144623502324i</v>
      </c>
      <c r="AK256">
        <f t="shared" si="232"/>
        <v>1.0444471420850776</v>
      </c>
      <c r="AL256">
        <f t="shared" si="233"/>
        <v>0.29278308689628474</v>
      </c>
      <c r="AM256" t="str">
        <f t="shared" si="214"/>
        <v>1-0,0189490702178204i</v>
      </c>
      <c r="AN256">
        <f t="shared" si="234"/>
        <v>1.0001795175177903</v>
      </c>
      <c r="AO256">
        <f t="shared" si="235"/>
        <v>-1.8946802709392238E-2</v>
      </c>
      <c r="AP256" s="41" t="str">
        <f t="shared" si="236"/>
        <v>0,418722494521714-1,44396593243587i</v>
      </c>
      <c r="AQ256">
        <f t="shared" si="237"/>
        <v>3.5417879327730422</v>
      </c>
      <c r="AR256" s="43">
        <f t="shared" si="238"/>
        <v>-73.828852132289896</v>
      </c>
      <c r="AS256" t="str">
        <f t="shared" si="215"/>
        <v>-0,0000166666666666667</v>
      </c>
      <c r="AT256" t="str">
        <f t="shared" si="216"/>
        <v>0,0000229400584852685i</v>
      </c>
      <c r="AU256">
        <f t="shared" si="239"/>
        <v>2.2940058485268498E-5</v>
      </c>
      <c r="AV256">
        <f t="shared" si="240"/>
        <v>1.5707963267948966</v>
      </c>
      <c r="AW256" t="str">
        <f t="shared" si="217"/>
        <v>1+0,0718955212309041i</v>
      </c>
      <c r="AX256">
        <f t="shared" si="241"/>
        <v>1.0025811518141878</v>
      </c>
      <c r="AY256">
        <f t="shared" si="242"/>
        <v>7.1772028834426543E-2</v>
      </c>
      <c r="AZ256" t="str">
        <f t="shared" si="218"/>
        <v>1+4,97386287788346i</v>
      </c>
      <c r="BA256">
        <f t="shared" si="243"/>
        <v>5.073392546214726</v>
      </c>
      <c r="BB256">
        <f t="shared" si="244"/>
        <v>1.3723904149569655</v>
      </c>
      <c r="BC256" s="41" t="str">
        <f t="shared" si="245"/>
        <v>-3,54311763968022+0,981265421801882i</v>
      </c>
      <c r="BD256">
        <f t="shared" si="246"/>
        <v>11.308663191341266</v>
      </c>
      <c r="BE256" s="43">
        <f t="shared" si="247"/>
        <v>164.51994428193794</v>
      </c>
      <c r="BF256" s="41" t="str">
        <f t="shared" si="248"/>
        <v>0,0650839516737126+1,74789967650391i</v>
      </c>
      <c r="BG256" s="20">
        <f t="shared" si="249"/>
        <v>4.8563472922784126</v>
      </c>
      <c r="BH256" s="43">
        <f t="shared" si="250"/>
        <v>87.867547084460128</v>
      </c>
      <c r="BI256" s="41" t="str">
        <f t="shared" si="255"/>
        <v>-0,0666692167115575+5,52701907151561i</v>
      </c>
      <c r="BJ256" s="20">
        <f t="shared" si="251"/>
        <v>14.850451124114301</v>
      </c>
      <c r="BK256" s="43">
        <f t="shared" si="256"/>
        <v>90.691092149648043</v>
      </c>
      <c r="BL256">
        <f t="shared" si="252"/>
        <v>4.8563472922784126</v>
      </c>
      <c r="BM256" s="43">
        <f t="shared" si="253"/>
        <v>87.867547084460128</v>
      </c>
    </row>
    <row r="257" spans="14:65" x14ac:dyDescent="0.25">
      <c r="N257" s="9">
        <v>39</v>
      </c>
      <c r="O257" s="34">
        <f t="shared" si="254"/>
        <v>2454.7089156850338</v>
      </c>
      <c r="P257" s="33" t="str">
        <f t="shared" si="206"/>
        <v>54,631621870174</v>
      </c>
      <c r="Q257" s="4" t="str">
        <f t="shared" si="207"/>
        <v>1+122,943709797323i</v>
      </c>
      <c r="R257" s="4">
        <f t="shared" si="219"/>
        <v>122.94777663190325</v>
      </c>
      <c r="S257" s="4">
        <f t="shared" si="220"/>
        <v>1.5626627024752544</v>
      </c>
      <c r="T257" s="4" t="str">
        <f t="shared" si="208"/>
        <v>1+0,308467819848698i</v>
      </c>
      <c r="U257" s="4">
        <f t="shared" si="221"/>
        <v>1.0464952918585964</v>
      </c>
      <c r="V257" s="4">
        <f t="shared" si="222"/>
        <v>0.29920721790894383</v>
      </c>
      <c r="W257" t="str">
        <f t="shared" si="209"/>
        <v>1-0,06137489886659i</v>
      </c>
      <c r="X257" s="4">
        <f t="shared" si="223"/>
        <v>1.0018816687667682</v>
      </c>
      <c r="Y257" s="4">
        <f t="shared" si="224"/>
        <v>-6.129800865048983E-2</v>
      </c>
      <c r="Z257" t="str">
        <f t="shared" si="210"/>
        <v>0,999975897616557+0,00843241470147141i</v>
      </c>
      <c r="AA257" s="4">
        <f t="shared" si="225"/>
        <v>1.0000114506503095</v>
      </c>
      <c r="AB257" s="4">
        <f t="shared" si="226"/>
        <v>8.4324180777191077E-3</v>
      </c>
      <c r="AC257" s="47" t="str">
        <f t="shared" si="227"/>
        <v>0,109658749292364-0,452788270519951i</v>
      </c>
      <c r="AD257" s="20">
        <f t="shared" si="228"/>
        <v>-6.6345569860377163</v>
      </c>
      <c r="AE257" s="43">
        <f t="shared" si="229"/>
        <v>-76.38592602347849</v>
      </c>
      <c r="AF257" t="str">
        <f t="shared" si="211"/>
        <v>171,265703090588</v>
      </c>
      <c r="AG257" t="str">
        <f t="shared" si="212"/>
        <v>1+121,767136350864i</v>
      </c>
      <c r="AH257">
        <f t="shared" si="230"/>
        <v>121.77124247986428</v>
      </c>
      <c r="AI257">
        <f t="shared" si="231"/>
        <v>1.5625841149475521</v>
      </c>
      <c r="AJ257" t="str">
        <f t="shared" si="213"/>
        <v>1+0,308467819848698i</v>
      </c>
      <c r="AK257">
        <f t="shared" si="232"/>
        <v>1.0464952918585964</v>
      </c>
      <c r="AL257">
        <f t="shared" si="233"/>
        <v>0.29920721790894383</v>
      </c>
      <c r="AM257" t="str">
        <f t="shared" si="214"/>
        <v>1-0,0193904507641315i</v>
      </c>
      <c r="AN257">
        <f t="shared" si="234"/>
        <v>1.0001879771227187</v>
      </c>
      <c r="AO257">
        <f t="shared" si="235"/>
        <v>-1.9388021109737787E-2</v>
      </c>
      <c r="AP257" s="41" t="str">
        <f t="shared" si="236"/>
        <v>0,418179491941465-1,41148035052574i</v>
      </c>
      <c r="AQ257">
        <f t="shared" si="237"/>
        <v>3.3588914602167703</v>
      </c>
      <c r="AR257" s="43">
        <f t="shared" si="238"/>
        <v>-73.497015917344825</v>
      </c>
      <c r="AS257" t="str">
        <f t="shared" si="215"/>
        <v>-0,0000166666666666667</v>
      </c>
      <c r="AT257" t="str">
        <f t="shared" si="216"/>
        <v>0,000023474401090486i</v>
      </c>
      <c r="AU257">
        <f t="shared" si="239"/>
        <v>2.3474401090486002E-5</v>
      </c>
      <c r="AV257">
        <f t="shared" si="240"/>
        <v>1.5707963267948966</v>
      </c>
      <c r="AW257" t="str">
        <f t="shared" si="217"/>
        <v>1+0,0735701830519562i</v>
      </c>
      <c r="AX257">
        <f t="shared" si="241"/>
        <v>1.0027026338024141</v>
      </c>
      <c r="AY257">
        <f t="shared" si="242"/>
        <v>7.3437877820304212E-2</v>
      </c>
      <c r="AZ257" t="str">
        <f t="shared" si="218"/>
        <v>1+5,08971902750352i</v>
      </c>
      <c r="BA257">
        <f t="shared" si="243"/>
        <v>5.1870261016242614</v>
      </c>
      <c r="BB257">
        <f t="shared" si="244"/>
        <v>1.3767929578309859</v>
      </c>
      <c r="BC257" s="41" t="str">
        <f t="shared" si="245"/>
        <v>-3,54225916202809+0,970597919648932i</v>
      </c>
      <c r="BD257">
        <f t="shared" si="246"/>
        <v>11.30001013059047</v>
      </c>
      <c r="BE257" s="43">
        <f t="shared" si="247"/>
        <v>164.67674529154777</v>
      </c>
      <c r="BF257" s="41" t="str">
        <f t="shared" si="248"/>
        <v>0,0510356440306847+1,71032795364262i</v>
      </c>
      <c r="BG257" s="20">
        <f t="shared" si="249"/>
        <v>4.6654531445527434</v>
      </c>
      <c r="BH257" s="43">
        <f t="shared" si="250"/>
        <v>88.290819268069271</v>
      </c>
      <c r="BI257" s="41" t="str">
        <f t="shared" si="255"/>
        <v>-0,111320244856277+5,40571334859066i</v>
      </c>
      <c r="BJ257" s="20">
        <f t="shared" si="251"/>
        <v>14.65890159080725</v>
      </c>
      <c r="BK257" s="43">
        <f t="shared" si="256"/>
        <v>91.179729374202935</v>
      </c>
      <c r="BL257">
        <f t="shared" si="252"/>
        <v>4.6654531445527434</v>
      </c>
      <c r="BM257" s="43">
        <f t="shared" si="253"/>
        <v>88.290819268069271</v>
      </c>
    </row>
    <row r="258" spans="14:65" x14ac:dyDescent="0.25">
      <c r="N258" s="9">
        <v>40</v>
      </c>
      <c r="O258" s="34">
        <f t="shared" si="254"/>
        <v>2511.8864315095811</v>
      </c>
      <c r="P258" s="33" t="str">
        <f t="shared" si="206"/>
        <v>54,631621870174</v>
      </c>
      <c r="Q258" s="4" t="str">
        <f t="shared" si="207"/>
        <v>1+125,8074366806i</v>
      </c>
      <c r="R258" s="4">
        <f t="shared" si="219"/>
        <v>125.81141094568163</v>
      </c>
      <c r="S258" s="4">
        <f t="shared" si="220"/>
        <v>1.5628478384796851</v>
      </c>
      <c r="T258" s="4" t="str">
        <f t="shared" si="208"/>
        <v>1+0,315652958395296i</v>
      </c>
      <c r="U258" s="4">
        <f t="shared" si="221"/>
        <v>1.0486356803693562</v>
      </c>
      <c r="V258" s="4">
        <f t="shared" si="222"/>
        <v>0.30575473047029689</v>
      </c>
      <c r="W258" t="str">
        <f t="shared" si="209"/>
        <v>1-0,0628045039121218i</v>
      </c>
      <c r="X258" s="4">
        <f t="shared" si="223"/>
        <v>1.0019702618898665</v>
      </c>
      <c r="Y258" s="4">
        <f t="shared" si="224"/>
        <v>-6.2722123308607949E-2</v>
      </c>
      <c r="Z258" t="str">
        <f t="shared" si="210"/>
        <v>0,999974761706221+0,00862883087202094i</v>
      </c>
      <c r="AA258" s="4">
        <f t="shared" si="225"/>
        <v>1.000011990313932</v>
      </c>
      <c r="AB258" s="4">
        <f t="shared" si="226"/>
        <v>8.6288344896837104E-3</v>
      </c>
      <c r="AC258" s="47" t="str">
        <f t="shared" si="227"/>
        <v>0,109492830807572-0,442911966541973i</v>
      </c>
      <c r="AD258" s="20">
        <f t="shared" si="228"/>
        <v>-6.8160336733359461</v>
      </c>
      <c r="AE258" s="43">
        <f t="shared" si="229"/>
        <v>-76.114238289979426</v>
      </c>
      <c r="AF258" t="str">
        <f t="shared" si="211"/>
        <v>171,265703090588</v>
      </c>
      <c r="AG258" t="str">
        <f t="shared" si="212"/>
        <v>1+124,603457317935i</v>
      </c>
      <c r="AH258">
        <f t="shared" si="230"/>
        <v>124.60746998307303</v>
      </c>
      <c r="AI258">
        <f t="shared" si="231"/>
        <v>1.5627710395916312</v>
      </c>
      <c r="AJ258" t="str">
        <f t="shared" si="213"/>
        <v>1+0,315652958395296i</v>
      </c>
      <c r="AK258">
        <f t="shared" si="232"/>
        <v>1.0486356803693562</v>
      </c>
      <c r="AL258">
        <f t="shared" si="233"/>
        <v>0.30575473047029689</v>
      </c>
      <c r="AM258" t="str">
        <f t="shared" si="214"/>
        <v>1-0,0198421123841008i</v>
      </c>
      <c r="AN258">
        <f t="shared" si="234"/>
        <v>1.000196835339856</v>
      </c>
      <c r="AO258">
        <f t="shared" si="235"/>
        <v>-1.983950899018324E-2</v>
      </c>
      <c r="AP258" s="41" t="str">
        <f t="shared" si="236"/>
        <v>0,417660925281007-1,37974275269218i</v>
      </c>
      <c r="AQ258">
        <f t="shared" si="237"/>
        <v>3.1767286072073855</v>
      </c>
      <c r="AR258" s="43">
        <f t="shared" si="238"/>
        <v>-73.158449424513876</v>
      </c>
      <c r="AS258" t="str">
        <f t="shared" si="215"/>
        <v>-0,0000166666666666667</v>
      </c>
      <c r="AT258" t="str">
        <f t="shared" si="216"/>
        <v>0,000024021190133882i</v>
      </c>
      <c r="AU258">
        <f t="shared" si="239"/>
        <v>2.4021190133881999E-5</v>
      </c>
      <c r="AV258">
        <f t="shared" si="240"/>
        <v>1.5707963267948966</v>
      </c>
      <c r="AW258" t="str">
        <f t="shared" si="217"/>
        <v>1+0,0752838527578794i</v>
      </c>
      <c r="AX258">
        <f t="shared" si="241"/>
        <v>1.0028298252874561</v>
      </c>
      <c r="AY258">
        <f t="shared" si="242"/>
        <v>7.5142106745039877E-2</v>
      </c>
      <c r="AZ258" t="str">
        <f t="shared" si="218"/>
        <v>1+5,20827381352238i</v>
      </c>
      <c r="BA258">
        <f t="shared" si="243"/>
        <v>5.3034060863395096</v>
      </c>
      <c r="BB258">
        <f t="shared" si="244"/>
        <v>1.3811026586198731</v>
      </c>
      <c r="BC258" s="41" t="str">
        <f t="shared" si="245"/>
        <v>-3,54136067133714+0,96043912021775i</v>
      </c>
      <c r="BD258">
        <f t="shared" si="246"/>
        <v>11.291637392610232</v>
      </c>
      <c r="BE258" s="43">
        <f t="shared" si="247"/>
        <v>164.82602783300374</v>
      </c>
      <c r="BF258" s="41" t="str">
        <f t="shared" si="248"/>
        <v>0,037636374664179+1,67367221726731i</v>
      </c>
      <c r="BG258" s="20">
        <f t="shared" si="249"/>
        <v>4.4756037192742868</v>
      </c>
      <c r="BH258" s="43">
        <f t="shared" si="250"/>
        <v>88.711789543024295</v>
      </c>
      <c r="BI258" s="41" t="str">
        <f t="shared" si="255"/>
        <v>-0,153929059221944+5,28730461257275i</v>
      </c>
      <c r="BJ258" s="20">
        <f t="shared" si="251"/>
        <v>14.46836599981761</v>
      </c>
      <c r="BK258" s="43">
        <f t="shared" si="256"/>
        <v>91.667578408489831</v>
      </c>
      <c r="BL258">
        <f t="shared" si="252"/>
        <v>4.4756037192742868</v>
      </c>
      <c r="BM258" s="43">
        <f t="shared" si="253"/>
        <v>88.711789543024295</v>
      </c>
    </row>
    <row r="259" spans="14:65" x14ac:dyDescent="0.25">
      <c r="N259" s="9">
        <v>41</v>
      </c>
      <c r="O259" s="34">
        <f t="shared" si="254"/>
        <v>2570.3957827688669</v>
      </c>
      <c r="P259" s="33" t="str">
        <f t="shared" si="206"/>
        <v>54,631621870174</v>
      </c>
      <c r="Q259" s="4" t="str">
        <f t="shared" si="207"/>
        <v>1+128,737868332062i</v>
      </c>
      <c r="R259" s="4">
        <f t="shared" si="219"/>
        <v>128.74175213458659</v>
      </c>
      <c r="S259" s="4">
        <f t="shared" si="220"/>
        <v>1.5630287608006705</v>
      </c>
      <c r="T259" s="4" t="str">
        <f t="shared" si="208"/>
        <v>1+0,323005460318594i</v>
      </c>
      <c r="U259" s="4">
        <f t="shared" si="221"/>
        <v>1.0508722697814548</v>
      </c>
      <c r="V259" s="4">
        <f t="shared" si="222"/>
        <v>0.3124268498190122</v>
      </c>
      <c r="W259" t="str">
        <f t="shared" si="209"/>
        <v>1-0,0642674087369433i</v>
      </c>
      <c r="X259" s="4">
        <f t="shared" si="223"/>
        <v>1.0020630218832354</v>
      </c>
      <c r="Y259" s="4">
        <f t="shared" si="224"/>
        <v>-6.4179146142130897E-2</v>
      </c>
      <c r="Z259" t="str">
        <f t="shared" si="210"/>
        <v>0,99997357226208+0,00882982216291483i</v>
      </c>
      <c r="AA259" s="4">
        <f t="shared" si="225"/>
        <v>1.0000125554121877</v>
      </c>
      <c r="AB259" s="4">
        <f t="shared" si="226"/>
        <v>8.829826039252189E-3</v>
      </c>
      <c r="AC259" s="47" t="str">
        <f t="shared" si="227"/>
        <v>0,109334048915744-0,433270382283237i</v>
      </c>
      <c r="AD259" s="20">
        <f t="shared" si="228"/>
        <v>-6.9967161235102093</v>
      </c>
      <c r="AE259" s="43">
        <f t="shared" si="229"/>
        <v>-75.837317322825825</v>
      </c>
      <c r="AF259" t="str">
        <f t="shared" si="211"/>
        <v>171,265703090588</v>
      </c>
      <c r="AG259" t="str">
        <f t="shared" si="212"/>
        <v>1+127,505844687396i</v>
      </c>
      <c r="AH259">
        <f t="shared" si="230"/>
        <v>127.50976601596582</v>
      </c>
      <c r="AI259">
        <f t="shared" si="231"/>
        <v>1.5629537098532649</v>
      </c>
      <c r="AJ259" t="str">
        <f t="shared" si="213"/>
        <v>1+0,323005460318594i</v>
      </c>
      <c r="AK259">
        <f t="shared" si="232"/>
        <v>1.0508722697814548</v>
      </c>
      <c r="AL259">
        <f t="shared" si="233"/>
        <v>0.3124268498190122</v>
      </c>
      <c r="AM259" t="str">
        <f t="shared" si="214"/>
        <v>1-0,0203042945546975i</v>
      </c>
      <c r="AN259">
        <f t="shared" si="234"/>
        <v>1.0002061109478204</v>
      </c>
      <c r="AO259">
        <f t="shared" si="235"/>
        <v>-2.030150499890155E-2</v>
      </c>
      <c r="AP259" s="41" t="str">
        <f t="shared" si="236"/>
        <v>0,417165695026271-1,34873633803498i</v>
      </c>
      <c r="AQ259">
        <f t="shared" si="237"/>
        <v>2.9953277742912854</v>
      </c>
      <c r="AR259" s="43">
        <f t="shared" si="238"/>
        <v>-72.813101801910506</v>
      </c>
      <c r="AS259" t="str">
        <f t="shared" si="215"/>
        <v>-0,0000166666666666667</v>
      </c>
      <c r="AT259" t="str">
        <f t="shared" si="216"/>
        <v>0,000024580715530245i</v>
      </c>
      <c r="AU259">
        <f t="shared" si="239"/>
        <v>2.4580715530245001E-5</v>
      </c>
      <c r="AV259">
        <f t="shared" si="240"/>
        <v>1.5707963267948966</v>
      </c>
      <c r="AW259" t="str">
        <f t="shared" si="217"/>
        <v>1+0,0770374389590339i</v>
      </c>
      <c r="AX259">
        <f t="shared" si="241"/>
        <v>1.002962993834452</v>
      </c>
      <c r="AY259">
        <f t="shared" si="242"/>
        <v>7.6885579593144474E-2</v>
      </c>
      <c r="AZ259" t="str">
        <f t="shared" si="218"/>
        <v>1+5,3295900952568i</v>
      </c>
      <c r="BA259">
        <f t="shared" si="243"/>
        <v>5.4225944513175053</v>
      </c>
      <c r="BB259">
        <f t="shared" si="244"/>
        <v>1.3853211617051131</v>
      </c>
      <c r="BC259" s="41" t="str">
        <f t="shared" si="245"/>
        <v>-3,54042032448556+0,950783218532445i</v>
      </c>
      <c r="BD259">
        <f t="shared" si="246"/>
        <v>11.283528898813934</v>
      </c>
      <c r="BE259" s="43">
        <f t="shared" si="247"/>
        <v>164.96783661975888</v>
      </c>
      <c r="BF259" s="41" t="str">
        <f t="shared" si="248"/>
        <v>0,0248577196224404+1,6379122463565i</v>
      </c>
      <c r="BG259" s="20">
        <f t="shared" si="249"/>
        <v>4.2868127753037504</v>
      </c>
      <c r="BH259" s="43">
        <f t="shared" si="250"/>
        <v>89.130519296933073</v>
      </c>
      <c r="BI259" s="41" t="str">
        <f t="shared" si="255"/>
        <v>-0,194586028920593+5,17172768572967i</v>
      </c>
      <c r="BJ259" s="20">
        <f t="shared" si="251"/>
        <v>14.278856673105217</v>
      </c>
      <c r="BK259" s="43">
        <f t="shared" si="256"/>
        <v>92.154734817848379</v>
      </c>
      <c r="BL259">
        <f t="shared" si="252"/>
        <v>4.2868127753037504</v>
      </c>
      <c r="BM259" s="43">
        <f t="shared" si="253"/>
        <v>89.130519296933073</v>
      </c>
    </row>
    <row r="260" spans="14:65" x14ac:dyDescent="0.25">
      <c r="N260" s="9">
        <v>42</v>
      </c>
      <c r="O260" s="34">
        <f t="shared" si="254"/>
        <v>2630.2679918953822</v>
      </c>
      <c r="P260" s="33" t="str">
        <f t="shared" si="206"/>
        <v>54,631621870174</v>
      </c>
      <c r="Q260" s="4" t="str">
        <f t="shared" si="207"/>
        <v>1+131,736558505361i</v>
      </c>
      <c r="R260" s="4">
        <f t="shared" si="219"/>
        <v>131.74035390432348</v>
      </c>
      <c r="S260" s="4">
        <f t="shared" si="220"/>
        <v>1.5632055653182162</v>
      </c>
      <c r="T260" s="4" t="str">
        <f t="shared" si="208"/>
        <v>1+0,330529224012436i</v>
      </c>
      <c r="U260" s="4">
        <f t="shared" si="221"/>
        <v>1.0532091757700666</v>
      </c>
      <c r="V260" s="4">
        <f t="shared" si="222"/>
        <v>0.31922473657390671</v>
      </c>
      <c r="W260" t="str">
        <f t="shared" si="209"/>
        <v>1-0,0657643889925569i</v>
      </c>
      <c r="X260" s="4">
        <f t="shared" si="223"/>
        <v>1.0021601443180448</v>
      </c>
      <c r="Y260" s="4">
        <f t="shared" si="224"/>
        <v>-6.5669824924806927E-2</v>
      </c>
      <c r="Z260" t="str">
        <f t="shared" si="210"/>
        <v>0,999972326761163+0,00903549514239603i</v>
      </c>
      <c r="AA260" s="4">
        <f t="shared" si="225"/>
        <v>1.0000131471438776</v>
      </c>
      <c r="AB260" s="4">
        <f t="shared" si="226"/>
        <v>9.035499295901115E-3</v>
      </c>
      <c r="AC260" s="47" t="str">
        <f t="shared" si="227"/>
        <v>0,109182066942254-0,423858413265963i</v>
      </c>
      <c r="AD260" s="20">
        <f t="shared" si="228"/>
        <v>-7.1765736127505502</v>
      </c>
      <c r="AE260" s="43">
        <f t="shared" si="229"/>
        <v>-75.555151067238427</v>
      </c>
      <c r="AF260" t="str">
        <f t="shared" si="211"/>
        <v>171,265703090588</v>
      </c>
      <c r="AG260" t="str">
        <f t="shared" si="212"/>
        <v>1+130,475837343451i</v>
      </c>
      <c r="AH260">
        <f t="shared" si="230"/>
        <v>130.47966941433702</v>
      </c>
      <c r="AI260">
        <f t="shared" si="231"/>
        <v>1.5631322225378528</v>
      </c>
      <c r="AJ260" t="str">
        <f t="shared" si="213"/>
        <v>1+0,330529224012436i</v>
      </c>
      <c r="AK260">
        <f t="shared" si="232"/>
        <v>1.0532091757700666</v>
      </c>
      <c r="AL260">
        <f t="shared" si="233"/>
        <v>0.31922473657390671</v>
      </c>
      <c r="AM260" t="str">
        <f t="shared" si="214"/>
        <v>1-0,0207772423310262i</v>
      </c>
      <c r="AN260">
        <f t="shared" si="234"/>
        <v>1.000215823609526</v>
      </c>
      <c r="AO260">
        <f t="shared" si="235"/>
        <v>-2.077425330297088E-2</v>
      </c>
      <c r="AP260" s="41" t="str">
        <f t="shared" si="236"/>
        <v>0,416692751124523-1,31844469154882i</v>
      </c>
      <c r="AQ260">
        <f t="shared" si="237"/>
        <v>2.8147181818204414</v>
      </c>
      <c r="AR260" s="43">
        <f t="shared" si="238"/>
        <v>-72.460926087258713</v>
      </c>
      <c r="AS260" t="str">
        <f t="shared" si="215"/>
        <v>-0,0000166666666666667</v>
      </c>
      <c r="AT260" t="str">
        <f t="shared" si="216"/>
        <v>0,0000251532739473464i</v>
      </c>
      <c r="AU260">
        <f t="shared" si="239"/>
        <v>2.51532739473464E-5</v>
      </c>
      <c r="AV260">
        <f t="shared" si="240"/>
        <v>1.5707963267948966</v>
      </c>
      <c r="AW260" t="str">
        <f t="shared" si="217"/>
        <v>1+0,0788318714300356i</v>
      </c>
      <c r="AX260">
        <f t="shared" si="241"/>
        <v>1.0031024194732867</v>
      </c>
      <c r="AY260">
        <f t="shared" si="242"/>
        <v>7.8669178356246552E-2</v>
      </c>
      <c r="AZ260" t="str">
        <f t="shared" si="218"/>
        <v>1+5,45373219620519i</v>
      </c>
      <c r="BA260">
        <f t="shared" si="243"/>
        <v>5.5446546211576679</v>
      </c>
      <c r="BB260">
        <f t="shared" si="244"/>
        <v>1.3894501029293074</v>
      </c>
      <c r="BC260" s="41" t="str">
        <f t="shared" si="245"/>
        <v>-3,53943619554654+0,941624646902634i</v>
      </c>
      <c r="BD260">
        <f t="shared" si="246"/>
        <v>11.27566899681106</v>
      </c>
      <c r="BE260" s="43">
        <f t="shared" si="247"/>
        <v>165.10221484429226</v>
      </c>
      <c r="BF260" s="41" t="str">
        <f t="shared" si="248"/>
        <v>0,012672569088274+1,60302833493307i</v>
      </c>
      <c r="BG260" s="20">
        <f t="shared" si="249"/>
        <v>4.0990953840604956</v>
      </c>
      <c r="BH260" s="43">
        <f t="shared" si="250"/>
        <v>89.547063777053836</v>
      </c>
      <c r="BI260" s="41" t="str">
        <f t="shared" si="255"/>
        <v>-0,233377388611693+5,0589190277386i</v>
      </c>
      <c r="BJ260" s="20">
        <f t="shared" si="251"/>
        <v>14.090387178631495</v>
      </c>
      <c r="BK260" s="43">
        <f t="shared" si="256"/>
        <v>92.64128875703355</v>
      </c>
      <c r="BL260">
        <f t="shared" si="252"/>
        <v>4.0990953840604956</v>
      </c>
      <c r="BM260" s="43">
        <f t="shared" si="253"/>
        <v>89.547063777053836</v>
      </c>
    </row>
    <row r="261" spans="14:65" x14ac:dyDescent="0.25">
      <c r="N261" s="9">
        <v>43</v>
      </c>
      <c r="O261" s="34">
        <f t="shared" si="254"/>
        <v>2691.5348039269184</v>
      </c>
      <c r="P261" s="33" t="str">
        <f t="shared" si="206"/>
        <v>54,631621870174</v>
      </c>
      <c r="Q261" s="4" t="str">
        <f t="shared" si="207"/>
        <v>1+134,80509714572i</v>
      </c>
      <c r="R261" s="4">
        <f t="shared" si="219"/>
        <v>134.80880615325916</v>
      </c>
      <c r="S261" s="4">
        <f t="shared" si="220"/>
        <v>1.563378345732177</v>
      </c>
      <c r="T261" s="4" t="str">
        <f t="shared" si="208"/>
        <v>1+0,338228238675922i</v>
      </c>
      <c r="U261" s="4">
        <f t="shared" si="221"/>
        <v>1.0556506720680929</v>
      </c>
      <c r="V261" s="4">
        <f t="shared" si="222"/>
        <v>0.32614948109026098</v>
      </c>
      <c r="W261" t="str">
        <f t="shared" si="209"/>
        <v>1-0,0672962383977092i</v>
      </c>
      <c r="X261" s="4">
        <f t="shared" si="223"/>
        <v>1.0022618339049338</v>
      </c>
      <c r="Y261" s="4">
        <f t="shared" si="224"/>
        <v>-6.7194923519553099E-2</v>
      </c>
      <c r="Z261" t="str">
        <f t="shared" si="210"/>
        <v>0,999971022561597+0,00924595886100067i</v>
      </c>
      <c r="AA261" s="4">
        <f t="shared" si="225"/>
        <v>1.0000137667643108</v>
      </c>
      <c r="AB261" s="4">
        <f t="shared" si="226"/>
        <v>9.2459633114883571E-3</v>
      </c>
      <c r="AC261" s="47" t="str">
        <f t="shared" si="227"/>
        <v>0,109036562625398-0,41467107623034i</v>
      </c>
      <c r="AD261" s="20">
        <f t="shared" si="228"/>
        <v>-7.3555745279543485</v>
      </c>
      <c r="AE261" s="43">
        <f t="shared" si="229"/>
        <v>-75.26773243340017</v>
      </c>
      <c r="AF261" t="str">
        <f t="shared" si="211"/>
        <v>171,265703090588</v>
      </c>
      <c r="AG261" t="str">
        <f t="shared" si="212"/>
        <v>1+133,515010015517i</v>
      </c>
      <c r="AH261">
        <f t="shared" si="230"/>
        <v>133.51875486029519</v>
      </c>
      <c r="AI261">
        <f t="shared" si="231"/>
        <v>1.5633066722496476</v>
      </c>
      <c r="AJ261" t="str">
        <f t="shared" si="213"/>
        <v>1+0,338228238675922i</v>
      </c>
      <c r="AK261">
        <f t="shared" si="232"/>
        <v>1.0556506720680929</v>
      </c>
      <c r="AL261">
        <f t="shared" si="233"/>
        <v>0.32614948109026098</v>
      </c>
      <c r="AM261" t="str">
        <f t="shared" si="214"/>
        <v>1-0,0212612064762582i</v>
      </c>
      <c r="AN261">
        <f t="shared" si="234"/>
        <v>1.0002259939137885</v>
      </c>
      <c r="AO261">
        <f t="shared" si="235"/>
        <v>-2.1258003714075272E-2</v>
      </c>
      <c r="AP261" s="41" t="str">
        <f t="shared" si="236"/>
        <v>0,416241090760454-1,28885177553926i</v>
      </c>
      <c r="AQ261">
        <f t="shared" si="237"/>
        <v>2.6349298698639285</v>
      </c>
      <c r="AR261" s="43">
        <f t="shared" si="238"/>
        <v>-72.101879541382459</v>
      </c>
      <c r="AS261" t="str">
        <f t="shared" si="215"/>
        <v>-0,0000166666666666667</v>
      </c>
      <c r="AT261" t="str">
        <f t="shared" si="216"/>
        <v>0,0000257391689632377i</v>
      </c>
      <c r="AU261">
        <f t="shared" si="239"/>
        <v>2.57391689632377E-5</v>
      </c>
      <c r="AV261">
        <f t="shared" si="240"/>
        <v>1.5707963267948966</v>
      </c>
      <c r="AW261" t="str">
        <f t="shared" si="217"/>
        <v>1+0,080668101602733i</v>
      </c>
      <c r="AX261">
        <f t="shared" si="241"/>
        <v>1.0032483952721722</v>
      </c>
      <c r="AY261">
        <f t="shared" si="242"/>
        <v>8.0493803304438602E-2</v>
      </c>
      <c r="AZ261" t="str">
        <f t="shared" si="218"/>
        <v>1+5,58076593815271i</v>
      </c>
      <c r="BA261">
        <f t="shared" si="243"/>
        <v>5.6696515286607774</v>
      </c>
      <c r="BB261">
        <f t="shared" si="244"/>
        <v>1.3934911081096102</v>
      </c>
      <c r="BC261" s="41" t="str">
        <f t="shared" si="245"/>
        <v>-3,53840627226934+0,932958069941984i</v>
      </c>
      <c r="BD261">
        <f t="shared" si="246"/>
        <v>11.268042438889035</v>
      </c>
      <c r="BE261" s="43">
        <f t="shared" si="247"/>
        <v>165.22920407738843</v>
      </c>
      <c r="BF261" s="41" t="str">
        <f t="shared" si="248"/>
        <v>0,00105506984022635+1,56900127808221i</v>
      </c>
      <c r="BG261" s="20">
        <f t="shared" si="249"/>
        <v>3.9124679109346716</v>
      </c>
      <c r="BH261" s="43">
        <f t="shared" si="250"/>
        <v>89.961471643988261</v>
      </c>
      <c r="BI261" s="41" t="str">
        <f t="shared" si="255"/>
        <v>-0,270385421374615+4,94881669126001i</v>
      </c>
      <c r="BJ261" s="20">
        <f t="shared" si="251"/>
        <v>13.902972308752958</v>
      </c>
      <c r="BK261" s="43">
        <f t="shared" si="256"/>
        <v>93.127324536005972</v>
      </c>
      <c r="BL261">
        <f t="shared" si="252"/>
        <v>3.9124679109346716</v>
      </c>
      <c r="BM261" s="43">
        <f t="shared" si="253"/>
        <v>89.961471643988261</v>
      </c>
    </row>
    <row r="262" spans="14:65" x14ac:dyDescent="0.25">
      <c r="N262" s="9">
        <v>44</v>
      </c>
      <c r="O262" s="34">
        <f t="shared" si="254"/>
        <v>2754.228703338169</v>
      </c>
      <c r="P262" s="33" t="str">
        <f t="shared" si="206"/>
        <v>54,631621870174</v>
      </c>
      <c r="Q262" s="4" t="str">
        <f t="shared" si="207"/>
        <v>1+137,945111232942i</v>
      </c>
      <c r="R262" s="4">
        <f t="shared" si="219"/>
        <v>137.94873581540622</v>
      </c>
      <c r="S262" s="4">
        <f t="shared" si="220"/>
        <v>1.5635471936117276</v>
      </c>
      <c r="T262" s="4" t="str">
        <f t="shared" si="208"/>
        <v>1+0,346106586428534i</v>
      </c>
      <c r="U262" s="4">
        <f t="shared" si="221"/>
        <v>1.0582011950329731</v>
      </c>
      <c r="V262" s="4">
        <f t="shared" si="222"/>
        <v>0.33320209762288672</v>
      </c>
      <c r="W262" t="str">
        <f t="shared" si="209"/>
        <v>1-0,0688637691592309i</v>
      </c>
      <c r="X262" s="4">
        <f t="shared" si="223"/>
        <v>1.0023683049173173</v>
      </c>
      <c r="Y262" s="4">
        <f t="shared" si="224"/>
        <v>-6.875522215972972E-2</v>
      </c>
      <c r="Z262" t="str">
        <f t="shared" si="210"/>
        <v>0,999969656896999+0,00946132490937814i</v>
      </c>
      <c r="AA262" s="4">
        <f t="shared" si="225"/>
        <v>1.0000144155879669</v>
      </c>
      <c r="AB262" s="4">
        <f t="shared" si="226"/>
        <v>9.4613296780794911E-3</v>
      </c>
      <c r="AC262" s="47" t="str">
        <f t="shared" si="227"/>
        <v>0,108897227433786-0,405703506526169i</v>
      </c>
      <c r="AD262" s="20">
        <f t="shared" si="228"/>
        <v>-7.5336863660913558</v>
      </c>
      <c r="AE262" s="43">
        <f t="shared" si="229"/>
        <v>-74.975059653151447</v>
      </c>
      <c r="AF262" t="str">
        <f t="shared" si="211"/>
        <v>171,265703090588</v>
      </c>
      <c r="AG262" t="str">
        <f t="shared" si="212"/>
        <v>1+136,624974113173i</v>
      </c>
      <c r="AH262">
        <f t="shared" si="230"/>
        <v>136.6286337171868</v>
      </c>
      <c r="AI262">
        <f t="shared" si="231"/>
        <v>1.5634771514416999</v>
      </c>
      <c r="AJ262" t="str">
        <f t="shared" si="213"/>
        <v>1+0,346106586428534i</v>
      </c>
      <c r="AK262">
        <f t="shared" si="232"/>
        <v>1.0582011950329731</v>
      </c>
      <c r="AL262">
        <f t="shared" si="233"/>
        <v>0.33320209762288672</v>
      </c>
      <c r="AM262" t="str">
        <f t="shared" si="214"/>
        <v>1-0,0217564435945892i</v>
      </c>
      <c r="AN262">
        <f t="shared" si="234"/>
        <v>1.0002366434188883</v>
      </c>
      <c r="AO262">
        <f t="shared" si="235"/>
        <v>-2.1753011816929801E-2</v>
      </c>
      <c r="AP262" s="41" t="str">
        <f t="shared" si="236"/>
        <v>0,415809756232124-1,25994192123058i</v>
      </c>
      <c r="AQ262">
        <f t="shared" si="237"/>
        <v>2.4559936956920008</v>
      </c>
      <c r="AR262" s="43">
        <f t="shared" si="238"/>
        <v>-71.735923992856513</v>
      </c>
      <c r="AS262" t="str">
        <f t="shared" si="215"/>
        <v>-0,0000166666666666667</v>
      </c>
      <c r="AT262" t="str">
        <f t="shared" si="216"/>
        <v>0,0000263387112272114i</v>
      </c>
      <c r="AU262">
        <f t="shared" si="239"/>
        <v>2.63387112272114E-5</v>
      </c>
      <c r="AV262">
        <f t="shared" si="240"/>
        <v>1.5707963267948966</v>
      </c>
      <c r="AW262" t="str">
        <f t="shared" si="217"/>
        <v>1+0,0825471030706687i</v>
      </c>
      <c r="AX262">
        <f t="shared" si="241"/>
        <v>1.0034012279369402</v>
      </c>
      <c r="AY262">
        <f t="shared" si="242"/>
        <v>8.2360373253758737E-2</v>
      </c>
      <c r="AZ262" t="str">
        <f t="shared" si="218"/>
        <v>1+5,71075867607081i</v>
      </c>
      <c r="BA262">
        <f t="shared" si="243"/>
        <v>5.7976516501354256</v>
      </c>
      <c r="BB262">
        <f t="shared" si="244"/>
        <v>1.3974457916723542</v>
      </c>
      <c r="BC262" s="41" t="str">
        <f t="shared" si="245"/>
        <v>-3,53732845243037+0,924778379573212i</v>
      </c>
      <c r="BD262">
        <f t="shared" si="246"/>
        <v>11.260634360488744</v>
      </c>
      <c r="BE262" s="43">
        <f t="shared" si="247"/>
        <v>165.34884417458144</v>
      </c>
      <c r="BF262" s="41" t="str">
        <f t="shared" si="248"/>
        <v>-0,0100194296398717+1,53581235841202i</v>
      </c>
      <c r="BG262" s="20">
        <f t="shared" si="249"/>
        <v>3.7269479943973867</v>
      </c>
      <c r="BH262" s="43">
        <f t="shared" si="250"/>
        <v>90.373784521429982</v>
      </c>
      <c r="BI262" s="41" t="str">
        <f t="shared" si="255"/>
        <v>-0,305688633246054+4,84136027895779i</v>
      </c>
      <c r="BJ262" s="20">
        <f t="shared" si="251"/>
        <v>13.716628056180744</v>
      </c>
      <c r="BK262" s="43">
        <f t="shared" si="256"/>
        <v>93.612920181724917</v>
      </c>
      <c r="BL262">
        <f t="shared" si="252"/>
        <v>3.7269479943973867</v>
      </c>
      <c r="BM262" s="43">
        <f t="shared" si="253"/>
        <v>90.373784521429982</v>
      </c>
    </row>
    <row r="263" spans="14:65" x14ac:dyDescent="0.25">
      <c r="N263" s="9">
        <v>45</v>
      </c>
      <c r="O263" s="34">
        <f t="shared" si="254"/>
        <v>2818.3829312644561</v>
      </c>
      <c r="P263" s="33" t="str">
        <f t="shared" si="206"/>
        <v>54,631621870174</v>
      </c>
      <c r="Q263" s="4" t="str">
        <f t="shared" si="207"/>
        <v>1+141,158265644058i</v>
      </c>
      <c r="R263" s="4">
        <f t="shared" si="219"/>
        <v>141.16180772304682</v>
      </c>
      <c r="S263" s="4">
        <f t="shared" si="220"/>
        <v>1.5637121984437161</v>
      </c>
      <c r="T263" s="4" t="str">
        <f t="shared" si="208"/>
        <v>1+0,354168444474532i</v>
      </c>
      <c r="U263" s="4">
        <f t="shared" si="221"/>
        <v>1.0608653482235668</v>
      </c>
      <c r="V263" s="4">
        <f t="shared" si="222"/>
        <v>0.34038351830524288</v>
      </c>
      <c r="W263" t="str">
        <f t="shared" si="209"/>
        <v>1-0,0704678124026805i</v>
      </c>
      <c r="X263" s="4">
        <f t="shared" si="223"/>
        <v>1.0024797816339337</v>
      </c>
      <c r="Y263" s="4">
        <f t="shared" si="224"/>
        <v>-7.0351517730466773E-2</v>
      </c>
      <c r="Z263" t="str">
        <f t="shared" si="210"/>
        <v>0,999968226870611+0,009681707477458i</v>
      </c>
      <c r="AA263" s="4">
        <f t="shared" si="225"/>
        <v>1.0000150949912869</v>
      </c>
      <c r="AB263" s="4">
        <f t="shared" si="226"/>
        <v>9.6817125871214143E-3</v>
      </c>
      <c r="AC263" s="47" t="str">
        <f t="shared" si="227"/>
        <v>0,108763765912782-0,396950955565025i</v>
      </c>
      <c r="AD263" s="20">
        <f t="shared" si="228"/>
        <v>-7.7108757360577513</v>
      </c>
      <c r="AE263" s="43">
        <f t="shared" si="229"/>
        <v>-74.677136647240218</v>
      </c>
      <c r="AF263" t="str">
        <f t="shared" si="211"/>
        <v>171,265703090588</v>
      </c>
      <c r="AG263" t="str">
        <f t="shared" si="212"/>
        <v>1+139,80737858055i</v>
      </c>
      <c r="AH263">
        <f t="shared" si="230"/>
        <v>139.8109548839619</v>
      </c>
      <c r="AI263">
        <f t="shared" si="231"/>
        <v>1.5636437504646734</v>
      </c>
      <c r="AJ263" t="str">
        <f t="shared" si="213"/>
        <v>1+0,354168444474532i</v>
      </c>
      <c r="AK263">
        <f t="shared" si="232"/>
        <v>1.0608653482235668</v>
      </c>
      <c r="AL263">
        <f t="shared" si="233"/>
        <v>0.34038351830524288</v>
      </c>
      <c r="AM263" t="str">
        <f t="shared" si="214"/>
        <v>1-0,0222632162672947i</v>
      </c>
      <c r="AN263">
        <f t="shared" si="234"/>
        <v>1.0002477946981758</v>
      </c>
      <c r="AO263">
        <f t="shared" si="235"/>
        <v>-2.2259539100480005E-2</v>
      </c>
      <c r="AP263" s="41" t="str">
        <f t="shared" si="236"/>
        <v>0,415397832922361-1,23169982056198i</v>
      </c>
      <c r="AQ263">
        <f t="shared" si="237"/>
        <v>2.2779413286360399</v>
      </c>
      <c r="AR263" s="43">
        <f t="shared" si="238"/>
        <v>-71.363026193292598</v>
      </c>
      <c r="AS263" t="str">
        <f t="shared" si="215"/>
        <v>-0,0000166666666666667</v>
      </c>
      <c r="AT263" t="str">
        <f t="shared" si="216"/>
        <v>0,0000269522186245118i</v>
      </c>
      <c r="AU263">
        <f t="shared" si="239"/>
        <v>2.69522186245118E-5</v>
      </c>
      <c r="AV263">
        <f t="shared" si="240"/>
        <v>1.5707963267948966</v>
      </c>
      <c r="AW263" t="str">
        <f t="shared" si="217"/>
        <v>1+0,0844698721052924i</v>
      </c>
      <c r="AX263">
        <f t="shared" si="241"/>
        <v>1.0035612384371391</v>
      </c>
      <c r="AY263">
        <f t="shared" si="242"/>
        <v>8.426982582903618E-2</v>
      </c>
      <c r="AZ263" t="str">
        <f t="shared" si="218"/>
        <v>1+5,84377933382978i</v>
      </c>
      <c r="BA263">
        <f t="shared" si="243"/>
        <v>5.9287230414732672</v>
      </c>
      <c r="BB263">
        <f t="shared" si="244"/>
        <v>1.4013157554026869</v>
      </c>
      <c r="BC263" s="41" t="str">
        <f t="shared" si="245"/>
        <v>-3,53620054005132+0,917080690008054i</v>
      </c>
      <c r="BD263">
        <f t="shared" si="246"/>
        <v>11.253430258697927</v>
      </c>
      <c r="BE263" s="43">
        <f t="shared" si="247"/>
        <v>165.46117318945443</v>
      </c>
      <c r="BF263" s="41" t="str">
        <f t="shared" si="248"/>
        <v>-0,0205744315298655+1,5034433329341i</v>
      </c>
      <c r="BG263" s="20">
        <f t="shared" si="249"/>
        <v>3.542554522640188</v>
      </c>
      <c r="BH263" s="43">
        <f t="shared" si="250"/>
        <v>90.784036542214182</v>
      </c>
      <c r="BI263" s="41" t="str">
        <f t="shared" si="255"/>
        <v>-0,339361919792424+4,73649090189668i</v>
      </c>
      <c r="BJ263" s="20">
        <f t="shared" si="251"/>
        <v>13.531371587333975</v>
      </c>
      <c r="BK263" s="43">
        <f t="shared" si="256"/>
        <v>94.098146996161802</v>
      </c>
      <c r="BL263">
        <f t="shared" si="252"/>
        <v>3.542554522640188</v>
      </c>
      <c r="BM263" s="43">
        <f t="shared" si="253"/>
        <v>90.784036542214182</v>
      </c>
    </row>
    <row r="264" spans="14:65" x14ac:dyDescent="0.25">
      <c r="N264" s="9">
        <v>46</v>
      </c>
      <c r="O264" s="34">
        <f t="shared" si="254"/>
        <v>2884.0315031266077</v>
      </c>
      <c r="P264" s="33" t="str">
        <f t="shared" si="206"/>
        <v>54,631621870174</v>
      </c>
      <c r="Q264" s="4" t="str">
        <f t="shared" si="207"/>
        <v>1+144,44626403607i</v>
      </c>
      <c r="R264" s="4">
        <f t="shared" si="219"/>
        <v>144.44972548945205</v>
      </c>
      <c r="S264" s="4">
        <f t="shared" si="220"/>
        <v>1.5638734476799281</v>
      </c>
      <c r="T264" s="4" t="str">
        <f t="shared" si="208"/>
        <v>1+0,362418087317764i</v>
      </c>
      <c r="U264" s="4">
        <f t="shared" si="221"/>
        <v>1.0636479069763012</v>
      </c>
      <c r="V264" s="4">
        <f t="shared" si="222"/>
        <v>0.34769458695599675</v>
      </c>
      <c r="W264" t="str">
        <f t="shared" si="209"/>
        <v>1-0,0721092186130178i</v>
      </c>
      <c r="X264" s="4">
        <f t="shared" si="223"/>
        <v>1.0025964988014771</v>
      </c>
      <c r="Y264" s="4">
        <f t="shared" si="224"/>
        <v>-7.1984624049599141E-2</v>
      </c>
      <c r="Z264" t="str">
        <f t="shared" si="210"/>
        <v>0,999966729449156+0,00990722341499495i</v>
      </c>
      <c r="AA264" s="4">
        <f t="shared" si="225"/>
        <v>1.0000158064155968</v>
      </c>
      <c r="AB264" s="4">
        <f t="shared" si="226"/>
        <v>9.9072288899945543E-3</v>
      </c>
      <c r="AC264" s="47" t="str">
        <f t="shared" si="227"/>
        <v>0,108635895058594-0,388408788331763i</v>
      </c>
      <c r="AD264" s="20">
        <f t="shared" si="228"/>
        <v>-7.887108363216548</v>
      </c>
      <c r="AE264" s="43">
        <f t="shared" si="229"/>
        <v>-74.373973402454709</v>
      </c>
      <c r="AF264" t="str">
        <f t="shared" si="211"/>
        <v>171,265703090588</v>
      </c>
      <c r="AG264" t="str">
        <f t="shared" si="212"/>
        <v>1+143,063910770619i</v>
      </c>
      <c r="AH264">
        <f t="shared" si="230"/>
        <v>143.06740566943833</v>
      </c>
      <c r="AI264">
        <f t="shared" si="231"/>
        <v>1.5638065576145623</v>
      </c>
      <c r="AJ264" t="str">
        <f t="shared" si="213"/>
        <v>1+0,362418087317764i</v>
      </c>
      <c r="AK264">
        <f t="shared" si="232"/>
        <v>1.0636479069763012</v>
      </c>
      <c r="AL264">
        <f t="shared" si="233"/>
        <v>0.34769458695599675</v>
      </c>
      <c r="AM264" t="str">
        <f t="shared" si="214"/>
        <v>1-0,0227817931919535i</v>
      </c>
      <c r="AN264">
        <f t="shared" si="234"/>
        <v>1.0002594713878199</v>
      </c>
      <c r="AO264">
        <f t="shared" si="235"/>
        <v>-2.2777853091922953E-2</v>
      </c>
      <c r="AP264" s="41" t="str">
        <f t="shared" si="236"/>
        <v>0,415004447361297-1,20411051816799i</v>
      </c>
      <c r="AQ264">
        <f t="shared" si="237"/>
        <v>2.1008052421195931</v>
      </c>
      <c r="AR264" s="43">
        <f t="shared" si="238"/>
        <v>-70.98315818260933</v>
      </c>
      <c r="AS264" t="str">
        <f t="shared" si="215"/>
        <v>-0,0000166666666666667</v>
      </c>
      <c r="AT264" t="str">
        <f t="shared" si="216"/>
        <v>0,0000275800164448818i</v>
      </c>
      <c r="AU264">
        <f t="shared" si="239"/>
        <v>2.75800164448818E-5</v>
      </c>
      <c r="AV264">
        <f t="shared" si="240"/>
        <v>1.5707963267948966</v>
      </c>
      <c r="AW264" t="str">
        <f t="shared" si="217"/>
        <v>1+0,0864374281841973i</v>
      </c>
      <c r="AX264">
        <f t="shared" si="241"/>
        <v>1.0037287626600615</v>
      </c>
      <c r="AY264">
        <f t="shared" si="242"/>
        <v>8.6223117721268117E-2</v>
      </c>
      <c r="AZ264" t="str">
        <f t="shared" si="218"/>
        <v>1+5,97989844074311i</v>
      </c>
      <c r="BA264">
        <f t="shared" si="243"/>
        <v>6.0629353750144714</v>
      </c>
      <c r="BB264">
        <f t="shared" si="244"/>
        <v>1.405102587303187</v>
      </c>
      <c r="BC264" s="41" t="str">
        <f t="shared" si="245"/>
        <v>-3,53502024148196+0,909860332690317i</v>
      </c>
      <c r="BD264">
        <f t="shared" si="246"/>
        <v>11.246415970783637</v>
      </c>
      <c r="BE264" s="43">
        <f t="shared" si="247"/>
        <v>165.56622729349658</v>
      </c>
      <c r="BF264" s="41" t="str">
        <f t="shared" si="248"/>
        <v>-0,0306323386122591+1,47187642034239i</v>
      </c>
      <c r="BG264" s="20">
        <f t="shared" si="249"/>
        <v>3.3593076075671071</v>
      </c>
      <c r="BH264" s="43">
        <f t="shared" si="250"/>
        <v>91.192253891041858</v>
      </c>
      <c r="BI264" s="41" t="str">
        <f t="shared" si="255"/>
        <v>-0,371476725070982+4,63415113924929i</v>
      </c>
      <c r="BJ264" s="20">
        <f t="shared" si="251"/>
        <v>13.347221212903236</v>
      </c>
      <c r="BK264" s="43">
        <f t="shared" si="256"/>
        <v>94.583069110887237</v>
      </c>
      <c r="BL264">
        <f t="shared" si="252"/>
        <v>3.3593076075671071</v>
      </c>
      <c r="BM264" s="43">
        <f t="shared" si="253"/>
        <v>91.192253891041858</v>
      </c>
    </row>
    <row r="265" spans="14:65" x14ac:dyDescent="0.25">
      <c r="N265" s="9">
        <v>47</v>
      </c>
      <c r="O265" s="34">
        <f t="shared" si="254"/>
        <v>2951.2092266663876</v>
      </c>
      <c r="P265" s="33" t="str">
        <f t="shared" si="206"/>
        <v>54,631621870174</v>
      </c>
      <c r="Q265" s="4" t="str">
        <f t="shared" si="207"/>
        <v>1+147,810849749246i</v>
      </c>
      <c r="R265" s="4">
        <f t="shared" si="219"/>
        <v>147.81423241215367</v>
      </c>
      <c r="S265" s="4">
        <f t="shared" si="220"/>
        <v>1.5640310267832818</v>
      </c>
      <c r="T265" s="4" t="str">
        <f t="shared" si="208"/>
        <v>1+0,370859889028062i</v>
      </c>
      <c r="U265" s="4">
        <f t="shared" si="221"/>
        <v>1.066553822969055</v>
      </c>
      <c r="V265" s="4">
        <f t="shared" si="222"/>
        <v>0.3551360527266737</v>
      </c>
      <c r="W265" t="str">
        <f t="shared" si="209"/>
        <v>1-0,073788858085542i</v>
      </c>
      <c r="X265" s="4">
        <f t="shared" si="223"/>
        <v>1.0027187021181805</v>
      </c>
      <c r="Y265" s="4">
        <f t="shared" si="224"/>
        <v>-7.3655372147730686E-2</v>
      </c>
      <c r="Z265" t="str">
        <f t="shared" si="210"/>
        <v>0,999965161456402+0,0101379922935241i</v>
      </c>
      <c r="AA265" s="4">
        <f t="shared" si="225"/>
        <v>1.000016551370162</v>
      </c>
      <c r="AB265" s="4">
        <f t="shared" si="226"/>
        <v>1.0137998159975868E-2</v>
      </c>
      <c r="AC265" s="47" t="str">
        <f t="shared" si="227"/>
        <v>0,108513343718723-0,3800724809542i</v>
      </c>
      <c r="AD265" s="20">
        <f t="shared" si="228"/>
        <v>-8.0623490968235885</v>
      </c>
      <c r="AE265" s="43">
        <f t="shared" si="229"/>
        <v>-74.06558635782919</v>
      </c>
      <c r="AF265" t="str">
        <f t="shared" si="211"/>
        <v>171,265703090588</v>
      </c>
      <c r="AG265" t="str">
        <f t="shared" si="212"/>
        <v>1+146,396297339853i</v>
      </c>
      <c r="AH265">
        <f t="shared" si="230"/>
        <v>146.39971268694023</v>
      </c>
      <c r="AI265">
        <f t="shared" si="231"/>
        <v>1.5639656591793296</v>
      </c>
      <c r="AJ265" t="str">
        <f t="shared" si="213"/>
        <v>1+0,370859889028062i</v>
      </c>
      <c r="AK265">
        <f t="shared" si="232"/>
        <v>1.066553822969055</v>
      </c>
      <c r="AL265">
        <f t="shared" si="233"/>
        <v>0.3551360527266737</v>
      </c>
      <c r="AM265" t="str">
        <f t="shared" si="214"/>
        <v>1-0,0233124493249154i</v>
      </c>
      <c r="AN265">
        <f t="shared" si="234"/>
        <v>1.0002716982367974</v>
      </c>
      <c r="AO265">
        <f t="shared" si="235"/>
        <v>-2.3308227493601379E-2</v>
      </c>
      <c r="AP265" s="41" t="str">
        <f t="shared" si="236"/>
        <v>0,414628765375942-1,17715940353948i</v>
      </c>
      <c r="AQ265">
        <f t="shared" si="237"/>
        <v>1.9246187026563959</v>
      </c>
      <c r="AR265" s="43">
        <f t="shared" si="238"/>
        <v>-70.59629766351155</v>
      </c>
      <c r="AS265" t="str">
        <f t="shared" si="215"/>
        <v>-0,0000166666666666667</v>
      </c>
      <c r="AT265" t="str">
        <f t="shared" si="216"/>
        <v>0,0000282224375550355i</v>
      </c>
      <c r="AU265">
        <f t="shared" si="239"/>
        <v>2.82224375550355E-5</v>
      </c>
      <c r="AV265">
        <f t="shared" si="240"/>
        <v>1.5707963267948966</v>
      </c>
      <c r="AW265" t="str">
        <f t="shared" si="217"/>
        <v>1+0,08845081453166i</v>
      </c>
      <c r="AX265">
        <f t="shared" si="241"/>
        <v>1.003904152093871</v>
      </c>
      <c r="AY265">
        <f t="shared" si="242"/>
        <v>8.8221224938631632E-2</v>
      </c>
      <c r="AZ265" t="str">
        <f t="shared" si="218"/>
        <v>1+6,11918816896302i</v>
      </c>
      <c r="BA265">
        <f t="shared" si="243"/>
        <v>6.2003599772252747</v>
      </c>
      <c r="BB265">
        <f t="shared" si="244"/>
        <v>1.4088078605555887</v>
      </c>
      <c r="BC265" s="41" t="str">
        <f t="shared" si="245"/>
        <v>-3,53378516134481+0,903112851189455i</v>
      </c>
      <c r="BD265">
        <f t="shared" si="246"/>
        <v>11.239577652779547</v>
      </c>
      <c r="BE265" s="43">
        <f t="shared" si="247"/>
        <v>165.66404070223234</v>
      </c>
      <c r="BF265" s="41" t="str">
        <f t="shared" si="248"/>
        <v>-0,040214501907935+1,44109428866938i</v>
      </c>
      <c r="BG265" s="20">
        <f t="shared" si="249"/>
        <v>3.1772285559559736</v>
      </c>
      <c r="BH265" s="43">
        <f t="shared" si="250"/>
        <v>91.598454344403152</v>
      </c>
      <c r="BI265" s="41" t="str">
        <f t="shared" si="255"/>
        <v>-0,402101193317205+4,53428499924915i</v>
      </c>
      <c r="BJ265" s="20">
        <f t="shared" si="251"/>
        <v>13.164196355435935</v>
      </c>
      <c r="BK265" s="43">
        <f t="shared" si="256"/>
        <v>95.067743038720806</v>
      </c>
      <c r="BL265">
        <f t="shared" si="252"/>
        <v>3.1772285559559736</v>
      </c>
      <c r="BM265" s="43">
        <f t="shared" si="253"/>
        <v>91.598454344403152</v>
      </c>
    </row>
    <row r="266" spans="14:65" x14ac:dyDescent="0.25">
      <c r="N266" s="9">
        <v>48</v>
      </c>
      <c r="O266" s="34">
        <f t="shared" si="254"/>
        <v>3019.9517204020176</v>
      </c>
      <c r="P266" s="33" t="str">
        <f t="shared" si="206"/>
        <v>54,631621870174</v>
      </c>
      <c r="Q266" s="4" t="str">
        <f t="shared" si="207"/>
        <v>1+151,253806731467i</v>
      </c>
      <c r="R266" s="4">
        <f t="shared" si="219"/>
        <v>151.25711239726871</v>
      </c>
      <c r="S266" s="4">
        <f t="shared" si="220"/>
        <v>1.5641850192729829</v>
      </c>
      <c r="T266" s="4" t="str">
        <f t="shared" si="208"/>
        <v>1+0,379498325560434i</v>
      </c>
      <c r="U266" s="4">
        <f t="shared" si="221"/>
        <v>1.0695882287605698</v>
      </c>
      <c r="V266" s="4">
        <f t="shared" si="222"/>
        <v>0.36270856360643339</v>
      </c>
      <c r="W266" t="str">
        <f t="shared" si="209"/>
        <v>1-0,0755076213873342i</v>
      </c>
      <c r="X266" s="4">
        <f t="shared" si="223"/>
        <v>1.0028466487392642</v>
      </c>
      <c r="Y266" s="4">
        <f t="shared" si="224"/>
        <v>-7.5364610546905422E-2</v>
      </c>
      <c r="Z266" t="str">
        <f t="shared" si="210"/>
        <v>0,999963519566426+0,0103741364697595i</v>
      </c>
      <c r="AA266" s="4">
        <f t="shared" si="225"/>
        <v>1.0000173314353944</v>
      </c>
      <c r="AB266" s="4">
        <f t="shared" si="226"/>
        <v>1.0374142755645665E-2</v>
      </c>
      <c r="AC266" s="47" t="str">
        <f t="shared" si="227"/>
        <v>0,108395852017477-0,371937618329766i</v>
      </c>
      <c r="AD266" s="20">
        <f t="shared" si="228"/>
        <v>-8.2365619205406517</v>
      </c>
      <c r="AE266" s="43">
        <f t="shared" si="229"/>
        <v>-73.75199879897977</v>
      </c>
      <c r="AF266" t="str">
        <f t="shared" si="211"/>
        <v>171,265703090588</v>
      </c>
      <c r="AG266" t="str">
        <f t="shared" si="212"/>
        <v>1+149,806305163721i</v>
      </c>
      <c r="AH266">
        <f t="shared" si="230"/>
        <v>149.80964276976934</v>
      </c>
      <c r="AI266">
        <f t="shared" si="231"/>
        <v>1.5641211394844929</v>
      </c>
      <c r="AJ266" t="str">
        <f t="shared" si="213"/>
        <v>1+0,379498325560434i</v>
      </c>
      <c r="AK266">
        <f t="shared" si="232"/>
        <v>1.0695882287605698</v>
      </c>
      <c r="AL266">
        <f t="shared" si="233"/>
        <v>0.36270856360643339</v>
      </c>
      <c r="AM266" t="str">
        <f t="shared" si="214"/>
        <v>1-0,0238554660270861i</v>
      </c>
      <c r="AN266">
        <f t="shared" si="234"/>
        <v>1.0002845011592298</v>
      </c>
      <c r="AO266">
        <f t="shared" si="235"/>
        <v>-2.3850942322817467E-2</v>
      </c>
      <c r="AP266" s="41" t="str">
        <f t="shared" si="236"/>
        <v>0,414269990322923-1,15083220336139i</v>
      </c>
      <c r="AQ266">
        <f t="shared" si="237"/>
        <v>1.7494157556085355</v>
      </c>
      <c r="AR266" s="43">
        <f t="shared" si="238"/>
        <v>-70.20242838426087</v>
      </c>
      <c r="AS266" t="str">
        <f t="shared" si="215"/>
        <v>-0,0000166666666666667</v>
      </c>
      <c r="AT266" t="str">
        <f t="shared" si="216"/>
        <v>0,000028879822575149i</v>
      </c>
      <c r="AU266">
        <f t="shared" si="239"/>
        <v>2.8879822575148999E-5</v>
      </c>
      <c r="AV266">
        <f t="shared" si="240"/>
        <v>1.5707963267948966</v>
      </c>
      <c r="AW266" t="str">
        <f t="shared" si="217"/>
        <v>1+0,0905110986717723i</v>
      </c>
      <c r="AX266">
        <f t="shared" si="241"/>
        <v>1.0040877745410364</v>
      </c>
      <c r="AY266">
        <f t="shared" si="242"/>
        <v>9.0265143050167973E-2</v>
      </c>
      <c r="AZ266" t="str">
        <f t="shared" si="218"/>
        <v>1+6,26172237174716i</v>
      </c>
      <c r="BA266">
        <f t="shared" si="243"/>
        <v>6.3410698672100176</v>
      </c>
      <c r="BB266">
        <f t="shared" si="244"/>
        <v>1.4124331325799271</v>
      </c>
      <c r="BC266" s="41" t="str">
        <f t="shared" si="245"/>
        <v>-3,53249279833951+0,89683399603157i</v>
      </c>
      <c r="BD266">
        <f t="shared" si="246"/>
        <v>11.232901758141269</v>
      </c>
      <c r="BE266" s="43">
        <f t="shared" si="247"/>
        <v>165.75464560735242</v>
      </c>
      <c r="BF266" s="41" t="str">
        <f t="shared" si="248"/>
        <v>-0,0493412661004638+1,41108004329953i</v>
      </c>
      <c r="BG266" s="20">
        <f t="shared" si="249"/>
        <v>2.9963398376006256</v>
      </c>
      <c r="BH266" s="43">
        <f t="shared" si="250"/>
        <v>92.002646808372617</v>
      </c>
      <c r="BI266" s="41" t="str">
        <f t="shared" si="255"/>
        <v>-0,431300313681492+4,43683788132857i</v>
      </c>
      <c r="BJ266" s="20">
        <f t="shared" si="251"/>
        <v>12.982317513749809</v>
      </c>
      <c r="BK266" s="43">
        <f t="shared" si="256"/>
        <v>95.552217223091517</v>
      </c>
      <c r="BL266">
        <f t="shared" si="252"/>
        <v>2.9963398376006256</v>
      </c>
      <c r="BM266" s="43">
        <f t="shared" si="253"/>
        <v>92.002646808372617</v>
      </c>
    </row>
    <row r="267" spans="14:65" x14ac:dyDescent="0.25">
      <c r="N267" s="9">
        <v>49</v>
      </c>
      <c r="O267" s="34">
        <f t="shared" si="254"/>
        <v>3090.295432513592</v>
      </c>
      <c r="P267" s="33" t="str">
        <f t="shared" si="206"/>
        <v>54,631621870174</v>
      </c>
      <c r="Q267" s="4" t="str">
        <f t="shared" si="207"/>
        <v>1+154,776960484097i</v>
      </c>
      <c r="R267" s="4">
        <f t="shared" si="219"/>
        <v>154.78019090534721</v>
      </c>
      <c r="S267" s="4">
        <f t="shared" si="220"/>
        <v>1.5643355067686571</v>
      </c>
      <c r="T267" s="4" t="str">
        <f t="shared" si="208"/>
        <v>1+0,388337977128272i</v>
      </c>
      <c r="U267" s="4">
        <f t="shared" si="221"/>
        <v>1.0727564422925076</v>
      </c>
      <c r="V267" s="4">
        <f t="shared" si="222"/>
        <v>0.37041265980251276</v>
      </c>
      <c r="W267" t="str">
        <f t="shared" si="209"/>
        <v>1-0,0772664198294474i</v>
      </c>
      <c r="X267" s="4">
        <f t="shared" si="223"/>
        <v>1.0029806078051859</v>
      </c>
      <c r="Y267" s="4">
        <f t="shared" si="224"/>
        <v>-7.7113205537316709E-2</v>
      </c>
      <c r="Z267" t="str">
        <f t="shared" si="210"/>
        <v>0,999961800296559+0,0106157811504691i</v>
      </c>
      <c r="AA267" s="4">
        <f t="shared" si="225"/>
        <v>1.0000181482662052</v>
      </c>
      <c r="AB267" s="4">
        <f t="shared" si="226"/>
        <v>1.0615787885771446E-2</v>
      </c>
      <c r="AC267" s="47" t="str">
        <f t="shared" si="227"/>
        <v>0,108283170805352-0,363999891808032i</v>
      </c>
      <c r="AD267" s="20">
        <f t="shared" si="228"/>
        <v>-8.4097099662338159</v>
      </c>
      <c r="AE267" s="43">
        <f t="shared" si="229"/>
        <v>-73.433241259477725</v>
      </c>
      <c r="AF267" t="str">
        <f t="shared" si="211"/>
        <v>171,265703090588</v>
      </c>
      <c r="AG267" t="str">
        <f t="shared" si="212"/>
        <v>1+153,295742273508i</v>
      </c>
      <c r="AH267">
        <f t="shared" si="230"/>
        <v>153.29900390800259</v>
      </c>
      <c r="AI267">
        <f t="shared" si="231"/>
        <v>1.5642730809376824</v>
      </c>
      <c r="AJ267" t="str">
        <f t="shared" si="213"/>
        <v>1+0,388337977128272i</v>
      </c>
      <c r="AK267">
        <f t="shared" si="232"/>
        <v>1.0727564422925076</v>
      </c>
      <c r="AL267">
        <f t="shared" si="233"/>
        <v>0.37041265980251276</v>
      </c>
      <c r="AM267" t="str">
        <f t="shared" si="214"/>
        <v>1-0,0244111312131088i</v>
      </c>
      <c r="AN267">
        <f t="shared" si="234"/>
        <v>1.0002979072891753</v>
      </c>
      <c r="AO267">
        <f t="shared" si="235"/>
        <v>-2.4406284054617446E-2</v>
      </c>
      <c r="AP267" s="41" t="str">
        <f t="shared" si="236"/>
        <v>0,41392736140063-1,12511497402374i</v>
      </c>
      <c r="AQ267">
        <f t="shared" si="237"/>
        <v>1.5752312075012367</v>
      </c>
      <c r="AR267" s="43">
        <f t="shared" si="238"/>
        <v>-69.801540528683304</v>
      </c>
      <c r="AS267" t="str">
        <f t="shared" si="215"/>
        <v>-0,0000166666666666667</v>
      </c>
      <c r="AT267" t="str">
        <f t="shared" si="216"/>
        <v>0,0000295525200594615i</v>
      </c>
      <c r="AU267">
        <f t="shared" si="239"/>
        <v>2.95525200594615E-5</v>
      </c>
      <c r="AV267">
        <f t="shared" si="240"/>
        <v>1.5707963267948966</v>
      </c>
      <c r="AW267" t="str">
        <f t="shared" si="217"/>
        <v>1+0,0926193729944564i</v>
      </c>
      <c r="AX267">
        <f t="shared" si="241"/>
        <v>1.004280014863328</v>
      </c>
      <c r="AY267">
        <f t="shared" si="242"/>
        <v>9.2355887421099764E-2</v>
      </c>
      <c r="AZ267" t="str">
        <f t="shared" si="218"/>
        <v>1+6,40757662261649i</v>
      </c>
      <c r="BA267">
        <f t="shared" si="243"/>
        <v>6.4851397960800607</v>
      </c>
      <c r="BB267">
        <f t="shared" si="244"/>
        <v>1.4159799441855834</v>
      </c>
      <c r="BC267" s="41" t="str">
        <f t="shared" si="245"/>
        <v>-3,53114054090499+0,891019719454159i</v>
      </c>
      <c r="BD267">
        <f t="shared" si="246"/>
        <v>11.226375016479578</v>
      </c>
      <c r="BE267" s="43">
        <f t="shared" si="247"/>
        <v>165.83807211458944</v>
      </c>
      <c r="BF267" s="41" t="str">
        <f t="shared" si="248"/>
        <v>-0,0580320128483812+1,38181721532096i</v>
      </c>
      <c r="BG267" s="20">
        <f t="shared" si="249"/>
        <v>2.8166650502457395</v>
      </c>
      <c r="BH267" s="43">
        <f t="shared" si="250"/>
        <v>92.404830855111712</v>
      </c>
      <c r="BI267" s="41" t="str">
        <f t="shared" si="255"/>
        <v>-0,45913605832329+4,34175653938408i</v>
      </c>
      <c r="BJ267" s="20">
        <f t="shared" si="251"/>
        <v>12.801606223980809</v>
      </c>
      <c r="BK267" s="43">
        <f t="shared" si="256"/>
        <v>96.036531585906133</v>
      </c>
      <c r="BL267">
        <f t="shared" si="252"/>
        <v>2.8166650502457395</v>
      </c>
      <c r="BM267" s="43">
        <f t="shared" si="253"/>
        <v>92.404830855111712</v>
      </c>
    </row>
    <row r="268" spans="14:65" x14ac:dyDescent="0.25">
      <c r="N268" s="9">
        <v>50</v>
      </c>
      <c r="O268" s="34">
        <f t="shared" si="254"/>
        <v>3162.2776601683804</v>
      </c>
      <c r="P268" s="33" t="str">
        <f t="shared" si="206"/>
        <v>54,631621870174</v>
      </c>
      <c r="Q268" s="4" t="str">
        <f t="shared" si="207"/>
        <v>1+158,382179029892i</v>
      </c>
      <c r="R268" s="4">
        <f t="shared" si="219"/>
        <v>158.38533591925977</v>
      </c>
      <c r="S268" s="4">
        <f t="shared" si="220"/>
        <v>1.5644825690334867</v>
      </c>
      <c r="T268" s="4" t="str">
        <f t="shared" si="208"/>
        <v>1+0,397383530631844i</v>
      </c>
      <c r="U268" s="4">
        <f t="shared" si="221"/>
        <v>1.0760639713406586</v>
      </c>
      <c r="V268" s="4">
        <f t="shared" si="222"/>
        <v>0.37824876701753052</v>
      </c>
      <c r="W268" t="str">
        <f t="shared" si="209"/>
        <v>1-0,0790661859500961i</v>
      </c>
      <c r="X268" s="4">
        <f t="shared" si="223"/>
        <v>1.0031208609936766</v>
      </c>
      <c r="Y268" s="4">
        <f t="shared" si="224"/>
        <v>-7.8902041451441168E-2</v>
      </c>
      <c r="Z268" t="str">
        <f t="shared" si="210"/>
        <v>0,99996+0,0108630544588611i</v>
      </c>
      <c r="AA268" s="4">
        <f t="shared" si="225"/>
        <v>1.0000190035955197</v>
      </c>
      <c r="AB268" s="4">
        <f t="shared" si="226"/>
        <v>1.0863061675703733E-2</v>
      </c>
      <c r="AC268" s="47" t="str">
        <f t="shared" si="227"/>
        <v>0,108175061131116-0,356255096927964i</v>
      </c>
      <c r="AD268" s="20">
        <f t="shared" si="228"/>
        <v>-8.5817555312538598</v>
      </c>
      <c r="AE268" s="43">
        <f t="shared" si="229"/>
        <v>-73.109351928013552</v>
      </c>
      <c r="AF268" t="str">
        <f t="shared" si="211"/>
        <v>171,265703090588</v>
      </c>
      <c r="AG268" t="str">
        <f t="shared" si="212"/>
        <v>1+156,866458814957i</v>
      </c>
      <c r="AH268">
        <f t="shared" si="230"/>
        <v>156.8696462071124</v>
      </c>
      <c r="AI268">
        <f t="shared" si="231"/>
        <v>1.5644215640721892</v>
      </c>
      <c r="AJ268" t="str">
        <f t="shared" si="213"/>
        <v>1+0,397383530631844i</v>
      </c>
      <c r="AK268">
        <f t="shared" si="232"/>
        <v>1.0760639713406586</v>
      </c>
      <c r="AL268">
        <f t="shared" si="233"/>
        <v>0.37824876701753052</v>
      </c>
      <c r="AM268" t="str">
        <f t="shared" si="214"/>
        <v>1-0,0249797395040202i</v>
      </c>
      <c r="AN268">
        <f t="shared" si="234"/>
        <v>1.0003119450379911</v>
      </c>
      <c r="AO268">
        <f t="shared" si="235"/>
        <v>-2.4974545767594419E-2</v>
      </c>
      <c r="AP268" s="41" t="str">
        <f t="shared" si="236"/>
        <v>0,413600152037237-1,09999409430208i</v>
      </c>
      <c r="AQ268">
        <f t="shared" si="237"/>
        <v>1.4021006046907594</v>
      </c>
      <c r="AR268" s="43">
        <f t="shared" si="238"/>
        <v>-69.393631112199415</v>
      </c>
      <c r="AS268" t="str">
        <f t="shared" si="215"/>
        <v>-0,0000166666666666667</v>
      </c>
      <c r="AT268" t="str">
        <f t="shared" si="216"/>
        <v>0,0000302408866810833i</v>
      </c>
      <c r="AU268">
        <f t="shared" si="239"/>
        <v>3.0240886681083301E-5</v>
      </c>
      <c r="AV268">
        <f t="shared" si="240"/>
        <v>1.5707963267948966</v>
      </c>
      <c r="AW268" t="str">
        <f t="shared" si="217"/>
        <v>1+0,0947767553346645i</v>
      </c>
      <c r="AX268">
        <f t="shared" si="241"/>
        <v>1.0044812757596664</v>
      </c>
      <c r="AY268">
        <f t="shared" si="242"/>
        <v>9.4494493438667226E-2</v>
      </c>
      <c r="AZ268" t="str">
        <f t="shared" si="218"/>
        <v>1+6,55682825542543i</v>
      </c>
      <c r="BA268">
        <f t="shared" si="243"/>
        <v>6.6326462872028147</v>
      </c>
      <c r="BB268">
        <f t="shared" si="244"/>
        <v>1.4194498188089186</v>
      </c>
      <c r="BC268" s="41" t="str">
        <f t="shared" si="245"/>
        <v>-3,52972566273759+0,885666170070232i</v>
      </c>
      <c r="BD268">
        <f t="shared" si="246"/>
        <v>11.219984412377757</v>
      </c>
      <c r="BE268" s="43">
        <f t="shared" si="247"/>
        <v>165.91434818709814</v>
      </c>
      <c r="BF268" s="41" t="str">
        <f t="shared" si="248"/>
        <v>-0,0663052020785186+1,35328975019681i</v>
      </c>
      <c r="BG268" s="20">
        <f t="shared" si="249"/>
        <v>2.6382288811238936</v>
      </c>
      <c r="BH268" s="43">
        <f t="shared" si="250"/>
        <v>92.804996259084575</v>
      </c>
      <c r="BI268" s="41" t="str">
        <f t="shared" si="255"/>
        <v>-0,485667514157607+4,24898904611313i</v>
      </c>
      <c r="BJ268" s="20">
        <f t="shared" si="251"/>
        <v>12.622085017068514</v>
      </c>
      <c r="BK268" s="43">
        <f t="shared" si="256"/>
        <v>96.520717074898698</v>
      </c>
      <c r="BL268">
        <f t="shared" si="252"/>
        <v>2.6382288811238936</v>
      </c>
      <c r="BM268" s="43">
        <f t="shared" si="253"/>
        <v>92.804996259084575</v>
      </c>
    </row>
    <row r="269" spans="14:65" x14ac:dyDescent="0.25">
      <c r="N269" s="9">
        <v>51</v>
      </c>
      <c r="O269" s="34">
        <f t="shared" si="254"/>
        <v>3235.9365692962833</v>
      </c>
      <c r="P269" s="33" t="str">
        <f t="shared" si="206"/>
        <v>54,631621870174</v>
      </c>
      <c r="Q269" s="4" t="str">
        <f t="shared" si="207"/>
        <v>1+162,071373903444i</v>
      </c>
      <c r="R269" s="4">
        <f t="shared" si="219"/>
        <v>162.07445893462037</v>
      </c>
      <c r="S269" s="4">
        <f t="shared" si="220"/>
        <v>1.564626284016372</v>
      </c>
      <c r="T269" s="4" t="str">
        <f t="shared" si="208"/>
        <v>1+0,40663978214335i</v>
      </c>
      <c r="U269" s="4">
        <f t="shared" si="221"/>
        <v>1.0795165179012274</v>
      </c>
      <c r="V269" s="4">
        <f t="shared" si="222"/>
        <v>0.38621718964757407</v>
      </c>
      <c r="W269" t="str">
        <f t="shared" si="209"/>
        <v>1-0,0809078740091003i</v>
      </c>
      <c r="X269" s="4">
        <f t="shared" si="223"/>
        <v>1.0032677030965726</v>
      </c>
      <c r="Y269" s="4">
        <f t="shared" si="224"/>
        <v>-8.0732020934929774E-2</v>
      </c>
      <c r="Z269" t="str">
        <f t="shared" si="210"/>
        <v>0,999958114858078+0,0111160875025168i</v>
      </c>
      <c r="AA269" s="4">
        <f t="shared" si="225"/>
        <v>1.0000198992379523</v>
      </c>
      <c r="AB269" s="4">
        <f t="shared" si="226"/>
        <v>1.1116095235319153E-2</v>
      </c>
      <c r="AC269" s="47" t="str">
        <f t="shared" si="227"/>
        <v>0,108071293735472-0,348699131208837i</v>
      </c>
      <c r="AD269" s="20">
        <f t="shared" si="228"/>
        <v>-8.752660099389086</v>
      </c>
      <c r="AE269" s="43">
        <f t="shared" si="229"/>
        <v>-72.78037705994825</v>
      </c>
      <c r="AF269" t="str">
        <f t="shared" si="211"/>
        <v>171,265703090588</v>
      </c>
      <c r="AG269" t="str">
        <f t="shared" si="212"/>
        <v>1+160,520348029243i</v>
      </c>
      <c r="AH269">
        <f t="shared" si="230"/>
        <v>160.52346286891924</v>
      </c>
      <c r="AI269">
        <f t="shared" si="231"/>
        <v>1.5645666675895327</v>
      </c>
      <c r="AJ269" t="str">
        <f t="shared" si="213"/>
        <v>1+0,40663978214335i</v>
      </c>
      <c r="AK269">
        <f t="shared" si="232"/>
        <v>1.0795165179012274</v>
      </c>
      <c r="AL269">
        <f t="shared" si="233"/>
        <v>0.38621718964757407</v>
      </c>
      <c r="AM269" t="str">
        <f t="shared" si="214"/>
        <v>1-0,0255615923834626i</v>
      </c>
      <c r="AN269">
        <f t="shared" si="234"/>
        <v>1.0003266441543874</v>
      </c>
      <c r="AO269">
        <f t="shared" si="235"/>
        <v>-2.5556027292758632E-2</v>
      </c>
      <c r="AP269" s="41" t="str">
        <f t="shared" si="236"/>
        <v>0,413287668351142-1,07545625820401i</v>
      </c>
      <c r="AQ269">
        <f t="shared" si="237"/>
        <v>1.2300602081895142</v>
      </c>
      <c r="AR269" s="43">
        <f t="shared" si="238"/>
        <v>-68.978704382514351</v>
      </c>
      <c r="AS269" t="str">
        <f t="shared" si="215"/>
        <v>-0,0000166666666666667</v>
      </c>
      <c r="AT269" t="str">
        <f t="shared" si="216"/>
        <v>0,000030945287421109i</v>
      </c>
      <c r="AU269">
        <f t="shared" si="239"/>
        <v>3.0945287421108997E-5</v>
      </c>
      <c r="AV269">
        <f t="shared" si="240"/>
        <v>1.5707963267948966</v>
      </c>
      <c r="AW269" t="str">
        <f t="shared" si="217"/>
        <v>1+0,0969843895650696i</v>
      </c>
      <c r="AX269">
        <f t="shared" si="241"/>
        <v>1.0046919785781656</v>
      </c>
      <c r="AY269">
        <f t="shared" si="242"/>
        <v>9.6682016727286407E-2</v>
      </c>
      <c r="AZ269" t="str">
        <f t="shared" si="218"/>
        <v>1+6,70955640536528i</v>
      </c>
      <c r="BA269">
        <f t="shared" si="243"/>
        <v>6.7836676773540621</v>
      </c>
      <c r="BB269">
        <f t="shared" si="244"/>
        <v>1.4228442618323616</v>
      </c>
      <c r="BC269" s="41" t="str">
        <f t="shared" si="245"/>
        <v>-3,52824531816402+0,880769687426762i</v>
      </c>
      <c r="BD269">
        <f t="shared" si="246"/>
        <v>11.213717164297506</v>
      </c>
      <c r="BE269" s="43">
        <f t="shared" si="247"/>
        <v>165.98349959411462</v>
      </c>
      <c r="BF269" s="41" t="str">
        <f t="shared" si="248"/>
        <v>-0,0741784113493169+1,32548199673864i</v>
      </c>
      <c r="BG269" s="20">
        <f t="shared" si="249"/>
        <v>2.4610570649084353</v>
      </c>
      <c r="BH269" s="43">
        <f t="shared" si="250"/>
        <v>93.203122534166383</v>
      </c>
      <c r="BI269" s="41" t="str">
        <f t="shared" si="255"/>
        <v>-0,51095100853534+4,15848475836946i</v>
      </c>
      <c r="BJ269" s="20">
        <f t="shared" si="251"/>
        <v>12.443777372487014</v>
      </c>
      <c r="BK269" s="43">
        <f t="shared" si="256"/>
        <v>97.004795211600282</v>
      </c>
      <c r="BL269">
        <f t="shared" si="252"/>
        <v>2.4610570649084353</v>
      </c>
      <c r="BM269" s="43">
        <f t="shared" si="253"/>
        <v>93.203122534166383</v>
      </c>
    </row>
    <row r="270" spans="14:65" x14ac:dyDescent="0.25">
      <c r="N270" s="9">
        <v>52</v>
      </c>
      <c r="O270" s="34">
        <f t="shared" si="254"/>
        <v>3311.3112148259115</v>
      </c>
      <c r="P270" s="33" t="str">
        <f t="shared" si="206"/>
        <v>54,631621870174</v>
      </c>
      <c r="Q270" s="4" t="str">
        <f t="shared" si="207"/>
        <v>1+165,846501164709i</v>
      </c>
      <c r="R270" s="4">
        <f t="shared" si="219"/>
        <v>165.84951597329373</v>
      </c>
      <c r="S270" s="4">
        <f t="shared" si="220"/>
        <v>1.5647667278931394</v>
      </c>
      <c r="T270" s="4" t="str">
        <f t="shared" si="208"/>
        <v>1+0,416111639449864i</v>
      </c>
      <c r="U270" s="4">
        <f t="shared" si="221"/>
        <v>1.0831199824976241</v>
      </c>
      <c r="V270" s="4">
        <f t="shared" si="222"/>
        <v>0.39431810392783018</v>
      </c>
      <c r="W270" t="str">
        <f t="shared" si="209"/>
        <v>1-0,0827924604938468i</v>
      </c>
      <c r="X270" s="4">
        <f t="shared" si="223"/>
        <v>1.003421442622503</v>
      </c>
      <c r="Y270" s="4">
        <f t="shared" si="224"/>
        <v>-8.2604065213536512E-2</v>
      </c>
      <c r="Z270" t="str">
        <f t="shared" si="210"/>
        <v>0,999956140872154+0,0113750144429052i</v>
      </c>
      <c r="AA270" s="4">
        <f t="shared" si="225"/>
        <v>1.0000208370936614</v>
      </c>
      <c r="AB270" s="4">
        <f t="shared" si="226"/>
        <v>1.1375022728545925E-2</v>
      </c>
      <c r="AC270" s="47" t="str">
        <f>(IMDIV(IMPRODUCT(P270,T270,W270),IMPRODUCT(Q270,Z270)))</f>
        <v>0,107971648565247-0,341327991993704i</v>
      </c>
      <c r="AD270" s="20">
        <f t="shared" si="228"/>
        <v>-8.9223843656742847</v>
      </c>
      <c r="AE270" s="43">
        <f t="shared" si="229"/>
        <v>-72.446371391677033</v>
      </c>
      <c r="AF270" t="str">
        <f t="shared" si="211"/>
        <v>171,265703090588</v>
      </c>
      <c r="AG270" t="str">
        <f t="shared" si="212"/>
        <v>1+164,259347256793i</v>
      </c>
      <c r="AH270">
        <f t="shared" si="230"/>
        <v>164.26239119539113</v>
      </c>
      <c r="AI270">
        <f t="shared" si="231"/>
        <v>1.5647084684010633</v>
      </c>
      <c r="AJ270" t="str">
        <f t="shared" si="213"/>
        <v>1+0,416111639449864i</v>
      </c>
      <c r="AK270">
        <f t="shared" si="232"/>
        <v>1.0831199824976241</v>
      </c>
      <c r="AL270">
        <f t="shared" si="233"/>
        <v>0.39431810392783018</v>
      </c>
      <c r="AM270" t="str">
        <f t="shared" si="214"/>
        <v>1-0,0261569983575344i</v>
      </c>
      <c r="AN270">
        <f t="shared" si="234"/>
        <v>1.0003420357872981</v>
      </c>
      <c r="AO270">
        <f t="shared" si="235"/>
        <v>-2.6151035365522744E-2</v>
      </c>
      <c r="AP270" s="41" t="str">
        <f t="shared" si="236"/>
        <v>0,412989247680628-1,05148846797827i</v>
      </c>
      <c r="AQ270">
        <f t="shared" si="237"/>
        <v>1.0591469644589295</v>
      </c>
      <c r="AR270" s="43">
        <f t="shared" si="238"/>
        <v>-68.556772223436212</v>
      </c>
      <c r="AS270" t="str">
        <f t="shared" si="215"/>
        <v>-0,0000166666666666667</v>
      </c>
      <c r="AT270" t="str">
        <f t="shared" si="216"/>
        <v>0,0000316660957621346i</v>
      </c>
      <c r="AU270">
        <f t="shared" si="239"/>
        <v>3.1666095762134602E-5</v>
      </c>
      <c r="AV270">
        <f t="shared" si="240"/>
        <v>1.5707963267948966</v>
      </c>
      <c r="AW270" t="str">
        <f t="shared" si="217"/>
        <v>1+0,0992434462025628i</v>
      </c>
      <c r="AX270">
        <f t="shared" si="241"/>
        <v>1.0049125641637491</v>
      </c>
      <c r="AY270">
        <f t="shared" si="242"/>
        <v>9.8919533351746844E-2</v>
      </c>
      <c r="AZ270" t="str">
        <f t="shared" si="218"/>
        <v>1+6,86584205092276i</v>
      </c>
      <c r="BA270">
        <f t="shared" si="243"/>
        <v>6.9382841587974227</v>
      </c>
      <c r="BB270">
        <f t="shared" si="244"/>
        <v>1.426164759980028</v>
      </c>
      <c r="BC270" s="41" t="str">
        <f t="shared" si="245"/>
        <v>-3,52669653736799+0,876326796441787i</v>
      </c>
      <c r="BD270">
        <f t="shared" si="246"/>
        <v>11.207560703574213</v>
      </c>
      <c r="BE270" s="43">
        <f t="shared" si="247"/>
        <v>166.04554986468492</v>
      </c>
      <c r="BF270" s="41" t="str">
        <f t="shared" si="248"/>
        <v>-0,0816683733692196+1,29837869636469i</v>
      </c>
      <c r="BG270" s="20">
        <f t="shared" si="249"/>
        <v>2.2851763378999546</v>
      </c>
      <c r="BH270" s="43">
        <f t="shared" si="250"/>
        <v>93.599178473007882</v>
      </c>
      <c r="BI270" s="41" t="str">
        <f t="shared" si="255"/>
        <v>-0,535040229126602+4,07019428348621i</v>
      </c>
      <c r="BJ270" s="20">
        <f t="shared" si="251"/>
        <v>12.266707668033154</v>
      </c>
      <c r="BK270" s="43">
        <f t="shared" si="256"/>
        <v>97.488777641248703</v>
      </c>
      <c r="BL270">
        <f t="shared" si="252"/>
        <v>2.2851763378999546</v>
      </c>
      <c r="BM270" s="43">
        <f t="shared" si="253"/>
        <v>93.599178473007882</v>
      </c>
    </row>
    <row r="271" spans="14:65" x14ac:dyDescent="0.25">
      <c r="N271" s="9">
        <v>53</v>
      </c>
      <c r="O271" s="34">
        <f t="shared" si="254"/>
        <v>3388.4415613920314</v>
      </c>
      <c r="P271" s="33" t="str">
        <f t="shared" si="206"/>
        <v>54,631621870174</v>
      </c>
      <c r="Q271" s="4" t="str">
        <f t="shared" si="207"/>
        <v>1+169,709562436129i</v>
      </c>
      <c r="R271" s="4">
        <f t="shared" si="219"/>
        <v>169.71250862049729</v>
      </c>
      <c r="S271" s="4">
        <f t="shared" si="220"/>
        <v>1.5649039751068172</v>
      </c>
      <c r="T271" s="4" t="str">
        <f t="shared" si="208"/>
        <v>1+0,425804124655502i</v>
      </c>
      <c r="U271" s="4">
        <f t="shared" si="221"/>
        <v>1.0868804683927475</v>
      </c>
      <c r="V271" s="4">
        <f t="shared" si="222"/>
        <v>0.40255155105539897</v>
      </c>
      <c r="W271" t="str">
        <f t="shared" si="209"/>
        <v>1-0,0847209446370347i</v>
      </c>
      <c r="X271" s="4">
        <f t="shared" si="223"/>
        <v>1.003582402426523</v>
      </c>
      <c r="Y271" s="4">
        <f t="shared" si="224"/>
        <v>-8.4519114355305375E-2</v>
      </c>
      <c r="Z271" t="str">
        <f t="shared" si="210"/>
        <v>0,99995407385514+0,0116399725665172i</v>
      </c>
      <c r="AA271" s="4">
        <f t="shared" si="225"/>
        <v>1.0000218191523822</v>
      </c>
      <c r="AB271" s="4">
        <f t="shared" si="226"/>
        <v>1.163998144450974E-2</v>
      </c>
      <c r="AC271" s="47" t="str">
        <f t="shared" si="227"/>
        <v>0,107875914307063-0,334137774344406i</v>
      </c>
      <c r="AD271" s="20">
        <f t="shared" si="228"/>
        <v>-9.0908882652281786</v>
      </c>
      <c r="AE271" s="43">
        <f t="shared" si="229"/>
        <v>-72.107398556070393</v>
      </c>
      <c r="AF271" t="str">
        <f t="shared" si="211"/>
        <v>171,265703090588</v>
      </c>
      <c r="AG271" t="str">
        <f t="shared" si="212"/>
        <v>1+168,085438964487i</v>
      </c>
      <c r="AH271">
        <f t="shared" si="230"/>
        <v>168.08841361582387</v>
      </c>
      <c r="AI271">
        <f t="shared" si="231"/>
        <v>1.5648470416686246</v>
      </c>
      <c r="AJ271" t="str">
        <f t="shared" si="213"/>
        <v>1+0,425804124655502i</v>
      </c>
      <c r="AK271">
        <f t="shared" si="232"/>
        <v>1.0868804683927475</v>
      </c>
      <c r="AL271">
        <f t="shared" si="233"/>
        <v>0.40255155105539897</v>
      </c>
      <c r="AM271" t="str">
        <f t="shared" si="214"/>
        <v>1-0,0267662731183642i</v>
      </c>
      <c r="AN271">
        <f t="shared" si="234"/>
        <v>1.0003581525516982</v>
      </c>
      <c r="AO271">
        <f t="shared" si="235"/>
        <v>-2.6759883780850046E-2</v>
      </c>
      <c r="AP271" s="41" t="str">
        <f t="shared" si="236"/>
        <v>0,412704257179618-1,02807802728299i</v>
      </c>
      <c r="AQ271">
        <f t="shared" si="237"/>
        <v>0.88939847199064248</v>
      </c>
      <c r="AR271" s="43">
        <f t="shared" si="238"/>
        <v>-68.127854560128611</v>
      </c>
      <c r="AS271" t="str">
        <f t="shared" si="215"/>
        <v>-0,0000166666666666667</v>
      </c>
      <c r="AT271" t="str">
        <f t="shared" si="216"/>
        <v>0,0000324036938862837i</v>
      </c>
      <c r="AU271">
        <f t="shared" si="239"/>
        <v>3.2403693886283699E-5</v>
      </c>
      <c r="AV271">
        <f t="shared" si="240"/>
        <v>1.5707963267948966</v>
      </c>
      <c r="AW271" t="str">
        <f t="shared" si="217"/>
        <v>1+0,101555123028875i</v>
      </c>
      <c r="AX271">
        <f t="shared" si="241"/>
        <v>1.0051434937427641</v>
      </c>
      <c r="AY271">
        <f t="shared" si="242"/>
        <v>0.10120814000707039</v>
      </c>
      <c r="AZ271" t="str">
        <f t="shared" si="218"/>
        <v>1+7,02576805681578i</v>
      </c>
      <c r="BA271">
        <f t="shared" si="243"/>
        <v>7.0965778223149911</v>
      </c>
      <c r="BB271">
        <f t="shared" si="244"/>
        <v>1.4294127807851404</v>
      </c>
      <c r="BC271" s="41" t="str">
        <f t="shared" si="245"/>
        <v>-3,52507622147022+0,872334201703569i</v>
      </c>
      <c r="BD271">
        <f t="shared" si="246"/>
        <v>11.201502653501054</v>
      </c>
      <c r="BE271" s="43">
        <f t="shared" si="247"/>
        <v>166.10052024627299</v>
      </c>
      <c r="BF271" s="41" t="str">
        <f t="shared" si="248"/>
        <v>-0,0887910117514522+1,27196497262654i</v>
      </c>
      <c r="BG271" s="20">
        <f t="shared" si="249"/>
        <v>2.110614388272861</v>
      </c>
      <c r="BH271" s="43">
        <f t="shared" si="250"/>
        <v>93.993121690202599</v>
      </c>
      <c r="BI271" s="41" t="str">
        <f t="shared" si="255"/>
        <v>-0,557986338264515+3,98406944651773i</v>
      </c>
      <c r="BJ271" s="20">
        <f t="shared" si="251"/>
        <v>12.090901125491706</v>
      </c>
      <c r="BK271" s="43">
        <f t="shared" si="256"/>
        <v>97.972665686144353</v>
      </c>
      <c r="BL271">
        <f t="shared" si="252"/>
        <v>2.110614388272861</v>
      </c>
      <c r="BM271" s="43">
        <f t="shared" si="253"/>
        <v>93.993121690202599</v>
      </c>
    </row>
    <row r="272" spans="14:65" x14ac:dyDescent="0.25">
      <c r="N272" s="9">
        <v>54</v>
      </c>
      <c r="O272" s="34">
        <f t="shared" si="254"/>
        <v>3467.3685045253224</v>
      </c>
      <c r="P272" s="33" t="str">
        <f t="shared" si="206"/>
        <v>54,631621870174</v>
      </c>
      <c r="Q272" s="4" t="str">
        <f t="shared" si="207"/>
        <v>1+173,662605963924i</v>
      </c>
      <c r="R272" s="4">
        <f t="shared" si="219"/>
        <v>173.66548508607323</v>
      </c>
      <c r="S272" s="4">
        <f t="shared" si="220"/>
        <v>1.5650380984070003</v>
      </c>
      <c r="T272" s="4" t="str">
        <f t="shared" si="208"/>
        <v>1+0,435722376844216i</v>
      </c>
      <c r="U272" s="4">
        <f t="shared" si="221"/>
        <v>1.0908042856914217</v>
      </c>
      <c r="V272" s="4">
        <f t="shared" si="222"/>
        <v>0.4109174303218841</v>
      </c>
      <c r="W272" t="str">
        <f t="shared" si="209"/>
        <v>1-0,0866943489464833i</v>
      </c>
      <c r="X272" s="4">
        <f t="shared" si="223"/>
        <v>1.0037509203678243</v>
      </c>
      <c r="Y272" s="4">
        <f t="shared" si="224"/>
        <v>-8.6478127527179927E-2</v>
      </c>
      <c r="Z272" t="str">
        <f t="shared" si="210"/>
        <v>0,999951909422615+0,0119111023576573i</v>
      </c>
      <c r="AA272" s="4">
        <f t="shared" si="225"/>
        <v>1.00002284749765</v>
      </c>
      <c r="AB272" s="4">
        <f t="shared" si="226"/>
        <v>1.191111187033801E-2</v>
      </c>
      <c r="AC272" s="47" t="str">
        <f t="shared" si="227"/>
        <v>0,107783887939518-0,327124668987031i</v>
      </c>
      <c r="AD272" s="20">
        <f t="shared" si="228"/>
        <v>-9.25813100628074</v>
      </c>
      <c r="AE272" s="43">
        <f t="shared" si="229"/>
        <v>-71.763531497076045</v>
      </c>
      <c r="AF272" t="str">
        <f t="shared" si="211"/>
        <v>171,265703090588</v>
      </c>
      <c r="AG272" t="str">
        <f t="shared" si="212"/>
        <v>1+172,000651796794i</v>
      </c>
      <c r="AH272">
        <f t="shared" si="230"/>
        <v>172.00355873795743</v>
      </c>
      <c r="AI272">
        <f t="shared" si="231"/>
        <v>1.5649824608442979</v>
      </c>
      <c r="AJ272" t="str">
        <f t="shared" si="213"/>
        <v>1+0,435722376844216i</v>
      </c>
      <c r="AK272">
        <f t="shared" si="232"/>
        <v>1.0908042856914217</v>
      </c>
      <c r="AL272">
        <f t="shared" si="233"/>
        <v>0.4109174303218841</v>
      </c>
      <c r="AM272" t="str">
        <f t="shared" si="214"/>
        <v>1-0,0273897397114948i</v>
      </c>
      <c r="AN272">
        <f t="shared" si="234"/>
        <v>1.0003750285975073</v>
      </c>
      <c r="AO272">
        <f t="shared" si="235"/>
        <v>-2.7382893551612046E-2</v>
      </c>
      <c r="AP272" s="41" t="str">
        <f t="shared" si="236"/>
        <v>0,412432092476532-1,00521253450966i</v>
      </c>
      <c r="AQ272">
        <f t="shared" si="237"/>
        <v>0.72085294350875273</v>
      </c>
      <c r="AR272" s="43">
        <f t="shared" si="238"/>
        <v>-67.691979763934143</v>
      </c>
      <c r="AS272" t="str">
        <f t="shared" si="215"/>
        <v>-0,0000166666666666667</v>
      </c>
      <c r="AT272" t="str">
        <f t="shared" si="216"/>
        <v>0,0000331584728778448i</v>
      </c>
      <c r="AU272">
        <f t="shared" si="239"/>
        <v>3.3158472877844802E-5</v>
      </c>
      <c r="AV272">
        <f t="shared" si="240"/>
        <v>1.5707963267948966</v>
      </c>
      <c r="AW272" t="str">
        <f t="shared" si="217"/>
        <v>1+0,103920645725657i</v>
      </c>
      <c r="AX272">
        <f t="shared" si="241"/>
        <v>1.0053852498460665</v>
      </c>
      <c r="AY272">
        <f t="shared" si="242"/>
        <v>0.10354895419356407</v>
      </c>
      <c r="AZ272" t="str">
        <f t="shared" si="218"/>
        <v>1+7,18941921792956i</v>
      </c>
      <c r="BA272">
        <f t="shared" si="243"/>
        <v>7.2586327012141121</v>
      </c>
      <c r="BB272">
        <f t="shared" si="244"/>
        <v>1.4325897721247314</v>
      </c>
      <c r="BC272" s="41" t="str">
        <f t="shared" si="245"/>
        <v>-3,52338113746192+0,868788781614729i</v>
      </c>
      <c r="BD272">
        <f t="shared" si="246"/>
        <v>11.195530808499161</v>
      </c>
      <c r="BE272" s="43">
        <f t="shared" si="247"/>
        <v>166.14842966807072</v>
      </c>
      <c r="BF272" s="41" t="str">
        <f t="shared" si="248"/>
        <v>-0,0955614750830429+1,24622632098805i</v>
      </c>
      <c r="BG272" s="20">
        <f t="shared" si="249"/>
        <v>1.9373998022184102</v>
      </c>
      <c r="BH272" s="43">
        <f t="shared" si="250"/>
        <v>94.384898170994688</v>
      </c>
      <c r="BI272" s="41" t="str">
        <f t="shared" si="255"/>
        <v>-0,579838081995262+3,90006325835313i</v>
      </c>
      <c r="BJ272" s="20">
        <f t="shared" si="251"/>
        <v>11.916383752007924</v>
      </c>
      <c r="BK272" s="43">
        <f t="shared" si="256"/>
        <v>98.456449904136576</v>
      </c>
      <c r="BL272">
        <f t="shared" si="252"/>
        <v>1.9373998022184102</v>
      </c>
      <c r="BM272" s="43">
        <f t="shared" si="253"/>
        <v>94.384898170994688</v>
      </c>
    </row>
    <row r="273" spans="14:65" x14ac:dyDescent="0.25">
      <c r="N273" s="9">
        <v>55</v>
      </c>
      <c r="O273" s="34">
        <f t="shared" si="254"/>
        <v>3548.1338923357539</v>
      </c>
      <c r="P273" s="33" t="str">
        <f t="shared" si="206"/>
        <v>54,631621870174</v>
      </c>
      <c r="Q273" s="4" t="str">
        <f t="shared" si="207"/>
        <v>1+177,707727704096i</v>
      </c>
      <c r="R273" s="4">
        <f t="shared" si="219"/>
        <v>177.7105412904736</v>
      </c>
      <c r="S273" s="4">
        <f t="shared" si="220"/>
        <v>1.5651691688883247</v>
      </c>
      <c r="T273" s="4" t="str">
        <f t="shared" si="208"/>
        <v>1+0,445871654804598i</v>
      </c>
      <c r="U273" s="4">
        <f t="shared" si="221"/>
        <v>1.0948979553173852</v>
      </c>
      <c r="V273" s="4">
        <f t="shared" si="222"/>
        <v>0.41941549229124259</v>
      </c>
      <c r="W273" t="str">
        <f t="shared" si="209"/>
        <v>1-0,0887137197472783i</v>
      </c>
      <c r="X273" s="4">
        <f t="shared" si="223"/>
        <v>1.003927349996701</v>
      </c>
      <c r="Y273" s="4">
        <f t="shared" si="224"/>
        <v>-8.8482083245125909E-2</v>
      </c>
      <c r="Z273" t="str">
        <f t="shared" si="210"/>
        <v>0,999949642983528+0,0121885475729294i</v>
      </c>
      <c r="AA273" s="4">
        <f t="shared" si="225"/>
        <v>1.000023924311225</v>
      </c>
      <c r="AB273" s="4">
        <f t="shared" si="226"/>
        <v>1.2188557765659047E-2</v>
      </c>
      <c r="AC273" s="47" t="str">
        <f t="shared" si="227"/>
        <v>0,107695374302918-0,320284960306872i</v>
      </c>
      <c r="AD273" s="20">
        <f t="shared" si="228"/>
        <v>-9.4240711075332797</v>
      </c>
      <c r="AE273" s="43">
        <f t="shared" si="229"/>
        <v>-71.414852881404414</v>
      </c>
      <c r="AF273" t="str">
        <f t="shared" si="211"/>
        <v>171,265703090588</v>
      </c>
      <c r="AG273" t="str">
        <f t="shared" si="212"/>
        <v>1+176,007061651381i</v>
      </c>
      <c r="AH273">
        <f t="shared" si="230"/>
        <v>176.00990242356548</v>
      </c>
      <c r="AI273">
        <f t="shared" si="231"/>
        <v>1.5651147977092439</v>
      </c>
      <c r="AJ273" t="str">
        <f t="shared" si="213"/>
        <v>1+0,445871654804598i</v>
      </c>
      <c r="AK273">
        <f t="shared" si="232"/>
        <v>1.0948979553173852</v>
      </c>
      <c r="AL273">
        <f t="shared" si="233"/>
        <v>0.41941549229124259</v>
      </c>
      <c r="AM273" t="str">
        <f t="shared" si="214"/>
        <v>1-0,0280277287071664i</v>
      </c>
      <c r="AN273">
        <f t="shared" si="234"/>
        <v>1.0003926996817212</v>
      </c>
      <c r="AO273">
        <f t="shared" si="235"/>
        <v>-2.8020393070202095E-2</v>
      </c>
      <c r="AP273" s="41" t="str">
        <f t="shared" si="236"/>
        <v>0,412172176393463-0,982879876259852i</v>
      </c>
      <c r="AQ273">
        <f t="shared" si="237"/>
        <v>0.5535491636447919</v>
      </c>
      <c r="AR273" s="43">
        <f t="shared" si="238"/>
        <v>-67.249185054741559</v>
      </c>
      <c r="AS273" t="str">
        <f t="shared" si="215"/>
        <v>-0,0000166666666666667</v>
      </c>
      <c r="AT273" t="str">
        <f t="shared" si="216"/>
        <v>0,0000339308329306299i</v>
      </c>
      <c r="AU273">
        <f t="shared" si="239"/>
        <v>3.39308329306299E-5</v>
      </c>
      <c r="AV273">
        <f t="shared" si="240"/>
        <v>1.5707963267948966</v>
      </c>
      <c r="AW273" t="str">
        <f t="shared" si="217"/>
        <v>1+0,106341268524355i</v>
      </c>
      <c r="AX273">
        <f t="shared" si="241"/>
        <v>1.0056383372720876</v>
      </c>
      <c r="AY273">
        <f t="shared" si="242"/>
        <v>0.10594311437549371</v>
      </c>
      <c r="AZ273" t="str">
        <f t="shared" si="218"/>
        <v>1+7,35688230427587i</v>
      </c>
      <c r="BA273">
        <f t="shared" si="243"/>
        <v>7.4245348163347868</v>
      </c>
      <c r="BB273">
        <f t="shared" si="244"/>
        <v>1.4356971618172891</v>
      </c>
      <c r="BC273" s="41" t="str">
        <f t="shared" si="245"/>
        <v>-3,52160791299224+0,865687582363204i</v>
      </c>
      <c r="BD273">
        <f t="shared" si="246"/>
        <v>11.189633113368709</v>
      </c>
      <c r="BE273" s="43">
        <f t="shared" si="247"/>
        <v>166.18929470885391</v>
      </c>
      <c r="BF273" s="41" t="str">
        <f t="shared" si="248"/>
        <v>-0,101994169382466+1,22114859884108i</v>
      </c>
      <c r="BG273" s="20">
        <f t="shared" si="249"/>
        <v>1.7655620058354322</v>
      </c>
      <c r="BH273" s="43">
        <f t="shared" si="250"/>
        <v>94.774441827449465</v>
      </c>
      <c r="BI273" s="41" t="str">
        <f t="shared" si="255"/>
        <v>-0,600641894069616+3,81812988465697i</v>
      </c>
      <c r="BJ273" s="20">
        <f t="shared" si="251"/>
        <v>11.743182277013508</v>
      </c>
      <c r="BK273" s="43">
        <f t="shared" si="256"/>
        <v>98.940109654112334</v>
      </c>
      <c r="BL273">
        <f t="shared" si="252"/>
        <v>1.7655620058354322</v>
      </c>
      <c r="BM273" s="43">
        <f t="shared" si="253"/>
        <v>94.774441827449465</v>
      </c>
    </row>
    <row r="274" spans="14:65" x14ac:dyDescent="0.25">
      <c r="N274" s="9">
        <v>56</v>
      </c>
      <c r="O274" s="34">
        <f t="shared" si="254"/>
        <v>3630.7805477010188</v>
      </c>
      <c r="P274" s="33" t="str">
        <f t="shared" si="206"/>
        <v>54,631621870174</v>
      </c>
      <c r="Q274" s="4" t="str">
        <f t="shared" si="207"/>
        <v>1+181,847072433738i</v>
      </c>
      <c r="R274" s="4">
        <f t="shared" si="219"/>
        <v>181.84982197605021</v>
      </c>
      <c r="S274" s="4">
        <f t="shared" si="220"/>
        <v>1.5652972560280707</v>
      </c>
      <c r="T274" s="4" t="str">
        <f t="shared" si="208"/>
        <v>1+0,45625733981817i</v>
      </c>
      <c r="U274" s="4">
        <f t="shared" si="221"/>
        <v>1.0991682128491311</v>
      </c>
      <c r="V274" s="4">
        <f t="shared" si="222"/>
        <v>0.42804533206132855</v>
      </c>
      <c r="W274" t="str">
        <f t="shared" si="209"/>
        <v>1-0,090780127736549i</v>
      </c>
      <c r="X274" s="4">
        <f t="shared" si="223"/>
        <v>1.0041120612719798</v>
      </c>
      <c r="Y274" s="4">
        <f t="shared" si="224"/>
        <v>-9.053197961679825E-2</v>
      </c>
      <c r="Z274" t="str">
        <f t="shared" si="210"/>
        <v>0,999947269730458+0,0124724553174593i</v>
      </c>
      <c r="AA274" s="4">
        <f t="shared" si="225"/>
        <v>1.0000250518777236</v>
      </c>
      <c r="AB274" s="4">
        <f t="shared" si="226"/>
        <v>1.2472466238838954E-2</v>
      </c>
      <c r="AC274" s="47" t="str">
        <f t="shared" si="227"/>
        <v>0,107610185685664-0,313615024391829i</v>
      </c>
      <c r="AD274" s="20">
        <f t="shared" si="228"/>
        <v>-9.5886664399779793</v>
      </c>
      <c r="AE274" s="43">
        <f t="shared" si="229"/>
        <v>-71.061455505038978</v>
      </c>
      <c r="AF274" t="str">
        <f t="shared" si="211"/>
        <v>171,265703090588</v>
      </c>
      <c r="AG274" t="str">
        <f t="shared" si="212"/>
        <v>1+180,106792779785i</v>
      </c>
      <c r="AH274">
        <f t="shared" si="230"/>
        <v>180.1095688891082</v>
      </c>
      <c r="AI274">
        <f t="shared" si="231"/>
        <v>1.5652441224116687</v>
      </c>
      <c r="AJ274" t="str">
        <f t="shared" si="213"/>
        <v>1+0,45625733981817i</v>
      </c>
      <c r="AK274">
        <f t="shared" si="232"/>
        <v>1.0991682128491311</v>
      </c>
      <c r="AL274">
        <f t="shared" si="233"/>
        <v>0.42804533206132855</v>
      </c>
      <c r="AM274" t="str">
        <f t="shared" si="214"/>
        <v>1-0,0286805783755896i</v>
      </c>
      <c r="AN274">
        <f t="shared" si="234"/>
        <v>1.0004112032439252</v>
      </c>
      <c r="AO274">
        <f t="shared" si="235"/>
        <v>-2.8672718273449849E-2</v>
      </c>
      <c r="AP274" s="41" t="str">
        <f t="shared" si="236"/>
        <v>0,411923957722922-0,961068220971048i</v>
      </c>
      <c r="AQ274">
        <f t="shared" si="237"/>
        <v>0.38752644195040664</v>
      </c>
      <c r="AR274" s="43">
        <f t="shared" si="238"/>
        <v>-66.799516898693327</v>
      </c>
      <c r="AS274" t="str">
        <f t="shared" si="215"/>
        <v>-0,0000166666666666667</v>
      </c>
      <c r="AT274" t="str">
        <f t="shared" si="216"/>
        <v>0,0000347211835601627i</v>
      </c>
      <c r="AU274">
        <f t="shared" si="239"/>
        <v>3.4721183560162697E-5</v>
      </c>
      <c r="AV274">
        <f t="shared" si="240"/>
        <v>1.5707963267948966</v>
      </c>
      <c r="AW274" t="str">
        <f t="shared" si="217"/>
        <v>1+0,108818274871219i</v>
      </c>
      <c r="AX274">
        <f t="shared" si="241"/>
        <v>1.0059032840914419</v>
      </c>
      <c r="AY274">
        <f t="shared" si="242"/>
        <v>0.10839178012168992</v>
      </c>
      <c r="AZ274" t="str">
        <f t="shared" si="218"/>
        <v>1+7,52824610699981i</v>
      </c>
      <c r="BA274">
        <f t="shared" si="243"/>
        <v>7.594372222083785</v>
      </c>
      <c r="BB274">
        <f t="shared" si="244"/>
        <v>1.4387363572792342</v>
      </c>
      <c r="BC274" s="41" t="str">
        <f t="shared" si="245"/>
        <v>-3,51975303101132+0,863027811701232i</v>
      </c>
      <c r="BD274">
        <f t="shared" si="246"/>
        <v>11.183797642615382</v>
      </c>
      <c r="BE274" s="43">
        <f t="shared" si="247"/>
        <v>166.22312956924338</v>
      </c>
      <c r="BF274" s="41" t="str">
        <f t="shared" si="248"/>
        <v>-0,108102789017298+1,19671801574289i</v>
      </c>
      <c r="BG274" s="20">
        <f t="shared" si="249"/>
        <v>1.5951312026373954</v>
      </c>
      <c r="BH274" s="43">
        <f t="shared" si="250"/>
        <v>95.161674064204419</v>
      </c>
      <c r="BI274" s="41" t="str">
        <f t="shared" si="255"/>
        <v>-0,620441995101194+3,73822461559243i</v>
      </c>
      <c r="BJ274" s="20">
        <f t="shared" si="251"/>
        <v>11.571324084565795</v>
      </c>
      <c r="BK274" s="43">
        <f t="shared" si="256"/>
        <v>99.423612670550057</v>
      </c>
      <c r="BL274">
        <f t="shared" si="252"/>
        <v>1.5951312026373954</v>
      </c>
      <c r="BM274" s="43">
        <f t="shared" si="253"/>
        <v>95.161674064204419</v>
      </c>
    </row>
    <row r="275" spans="14:65" x14ac:dyDescent="0.25">
      <c r="N275" s="9">
        <v>57</v>
      </c>
      <c r="O275" s="34">
        <f t="shared" si="254"/>
        <v>3715.352290971724</v>
      </c>
      <c r="P275" s="33" t="str">
        <f t="shared" ref="P275:P338" si="257">COMPLEX(Adc,0)</f>
        <v>54,631621870174</v>
      </c>
      <c r="Q275" s="4" t="str">
        <f t="shared" ref="Q275:Q338" si="258">IMSUM(COMPLEX(1,0),IMDIV(COMPLEX(0,2*PI()*O275),COMPLEX(wp_lf,0)))</f>
        <v>1+186,082834888215i</v>
      </c>
      <c r="R275" s="4">
        <f t="shared" si="219"/>
        <v>186.08552184421734</v>
      </c>
      <c r="S275" s="4">
        <f t="shared" si="220"/>
        <v>1.5654224277229138</v>
      </c>
      <c r="T275" s="4" t="str">
        <f t="shared" ref="T275:T338" si="259">IMSUM(COMPLEX(1,0),IMDIV(COMPLEX(0,2*PI()*O275),COMPLEX(wz_esr,0)))</f>
        <v>1+0,466884938512592i</v>
      </c>
      <c r="U275" s="4">
        <f t="shared" si="221"/>
        <v>1.1036220121988809</v>
      </c>
      <c r="V275" s="4">
        <f t="shared" si="222"/>
        <v>0.43680638265033306</v>
      </c>
      <c r="W275" t="str">
        <f t="shared" ref="W275:W338" si="260">IMSUB(COMPLEX(1,0),IMDIV(COMPLEX(0,2*PI()*O275),COMPLEX(wz_rhp,0)))</f>
        <v>1-0,0928946685511623i</v>
      </c>
      <c r="X275" s="4">
        <f t="shared" si="223"/>
        <v>1.0043054413101775</v>
      </c>
      <c r="Y275" s="4">
        <f t="shared" si="224"/>
        <v>-9.2628834575696928E-2</v>
      </c>
      <c r="Z275" t="str">
        <f t="shared" ref="Z275:Z338" si="261">IMSUM(COMPLEX(1,0),IMDIV(COMPLEX(0,2*PI()*O275),COMPLEX(Q*(wsl/2),0)),IMDIV(IMPOWER(COMPLEX(0,2*PI()*O275),2),IMPOWER(COMPLEX(wsl/2,0),2)))</f>
        <v>0,999944784629416+0,0127629761228909i</v>
      </c>
      <c r="AA275" s="4">
        <f t="shared" si="225"/>
        <v>1.0000262325894671</v>
      </c>
      <c r="AB275" s="4">
        <f t="shared" si="226"/>
        <v>1.2762987824993218E-2</v>
      </c>
      <c r="AC275" s="47" t="str">
        <f t="shared" si="227"/>
        <v>0,107528141426412-0,30711132712336i</v>
      </c>
      <c r="AD275" s="20">
        <f t="shared" si="228"/>
        <v>-9.7518742732780179</v>
      </c>
      <c r="AE275" s="43">
        <f t="shared" si="229"/>
        <v>-70.703442692157523</v>
      </c>
      <c r="AF275" t="str">
        <f t="shared" ref="AF275:AF338" si="262">COMPLEX($B$72,0)</f>
        <v>171,265703090588</v>
      </c>
      <c r="AG275" t="str">
        <f t="shared" ref="AG275:AG338" si="263">IMSUM(COMPLEX(1,0),IMDIV(COMPLEX(0,2*PI()*O275),COMPLEX(wp_lf_DCM,0)))</f>
        <v>1+184,302018913716i</v>
      </c>
      <c r="AH275">
        <f t="shared" si="230"/>
        <v>184.3047318320171</v>
      </c>
      <c r="AI275">
        <f t="shared" si="231"/>
        <v>1.5653705035039278</v>
      </c>
      <c r="AJ275" t="str">
        <f t="shared" ref="AJ275:AJ338" si="264">IMSUM(COMPLEX(1,0),IMDIV(COMPLEX(0,2*PI()*O275),COMPLEX(wz1_dcm,0)))</f>
        <v>1+0,466884938512592i</v>
      </c>
      <c r="AK275">
        <f t="shared" si="232"/>
        <v>1.1036220121988809</v>
      </c>
      <c r="AL275">
        <f t="shared" si="233"/>
        <v>0.43680638265033306</v>
      </c>
      <c r="AM275" t="str">
        <f t="shared" ref="AM275:AM338" si="265">IMSUB(COMPLEX(1,0),IMDIV(COMPLEX(0,2*PI()*O275),COMPLEX(wz2_dcm,0)))</f>
        <v>1-0,0293486348662998i</v>
      </c>
      <c r="AN275">
        <f t="shared" si="234"/>
        <v>1.0004305784853416</v>
      </c>
      <c r="AO275">
        <f t="shared" si="235"/>
        <v>-2.9340212810879281E-2</v>
      </c>
      <c r="AP275" s="41" t="str">
        <f t="shared" si="236"/>
        <v>0,411686910059569-0,939766012688826i</v>
      </c>
      <c r="AQ275">
        <f t="shared" si="237"/>
        <v>0.22282456114104246</v>
      </c>
      <c r="AR275" s="43">
        <f t="shared" si="238"/>
        <v>-66.343031398882218</v>
      </c>
      <c r="AS275" t="str">
        <f t="shared" ref="AS275:AS338" si="266">COMPLEX(Adc_ea,0)</f>
        <v>-0,0000166666666666667</v>
      </c>
      <c r="AT275" t="str">
        <f t="shared" ref="AT275:AT338" si="267">COMPLEX(0,2*PI()*O275*wp0_ea)</f>
        <v>0,0000355299438208082i</v>
      </c>
      <c r="AU275">
        <f t="shared" si="239"/>
        <v>3.5529943820808202E-5</v>
      </c>
      <c r="AV275">
        <f t="shared" si="240"/>
        <v>1.5707963267948966</v>
      </c>
      <c r="AW275" t="str">
        <f t="shared" ref="AW275:AW338" si="268">IMSUM(COMPLEX(1,0),IMDIV(COMPLEX(0,2*PI()*O275),COMPLEX(wp1_ea,0)))</f>
        <v>1+0,111352978107799i</v>
      </c>
      <c r="AX275">
        <f t="shared" si="241"/>
        <v>1.0061806426946782</v>
      </c>
      <c r="AY275">
        <f t="shared" si="242"/>
        <v>0.11089613222629424</v>
      </c>
      <c r="AZ275" t="str">
        <f t="shared" ref="AZ275:AZ338" si="269">IMSUM(COMPLEX(1,0),IMDIV(COMPLEX(0,2*PI()*O275),COMPLEX(wz_ea,0)))</f>
        <v>1+7,70360148545777i</v>
      </c>
      <c r="BA275">
        <f t="shared" si="243"/>
        <v>7.7682350535206615</v>
      </c>
      <c r="BB275">
        <f t="shared" si="244"/>
        <v>1.4417087452362745</v>
      </c>
      <c r="BC275" s="41" t="str">
        <f t="shared" si="245"/>
        <v>-3,51781282427071+0,860806832512649i</v>
      </c>
      <c r="BD275">
        <f t="shared" si="246"/>
        <v>11.178012579843827</v>
      </c>
      <c r="BE275" s="43">
        <f t="shared" si="247"/>
        <v>166.24994604824877</v>
      </c>
      <c r="BF275" s="41" t="str">
        <f t="shared" si="248"/>
        <v>-0,113900346150011+1,17292112386059i</v>
      </c>
      <c r="BG275" s="20">
        <f t="shared" si="249"/>
        <v>1.4261383065657758</v>
      </c>
      <c r="BH275" s="43">
        <f t="shared" si="250"/>
        <v>95.54650335609125</v>
      </c>
      <c r="BI275" s="41" t="str">
        <f t="shared" si="255"/>
        <v>-0,639280487106224+3,6603038362858i</v>
      </c>
      <c r="BJ275" s="20">
        <f t="shared" si="251"/>
        <v>11.400837140984873</v>
      </c>
      <c r="BK275" s="43">
        <f t="shared" si="256"/>
        <v>99.90691464936657</v>
      </c>
      <c r="BL275">
        <f t="shared" si="252"/>
        <v>1.4261383065657758</v>
      </c>
      <c r="BM275" s="43">
        <f t="shared" si="253"/>
        <v>95.54650335609125</v>
      </c>
    </row>
    <row r="276" spans="14:65" x14ac:dyDescent="0.25">
      <c r="N276" s="9">
        <v>58</v>
      </c>
      <c r="O276" s="34">
        <f t="shared" si="254"/>
        <v>3801.8939632056172</v>
      </c>
      <c r="P276" s="33" t="str">
        <f t="shared" si="257"/>
        <v>54,631621870174</v>
      </c>
      <c r="Q276" s="4" t="str">
        <f t="shared" si="258"/>
        <v>1+190,417260924847i</v>
      </c>
      <c r="R276" s="4">
        <f t="shared" ref="R276:R339" si="270">IMABS(Q276)</f>
        <v>190.41988671911676</v>
      </c>
      <c r="S276" s="4">
        <f t="shared" ref="S276:S339" si="271">IMARGUMENT(Q276)</f>
        <v>1.565544750324845</v>
      </c>
      <c r="T276" s="4" t="str">
        <f t="shared" si="259"/>
        <v>1+0,477760085781366i</v>
      </c>
      <c r="U276" s="4">
        <f t="shared" ref="U276:U339" si="272">IMABS(T276)</f>
        <v>1.1082665291191547</v>
      </c>
      <c r="V276" s="4">
        <f t="shared" ref="V276:V339" si="273">IMARGUMENT(T276)</f>
        <v>0.44569790855213098</v>
      </c>
      <c r="W276" t="str">
        <f t="shared" si="260"/>
        <v>1-0,0950584633486477i</v>
      </c>
      <c r="X276" s="4">
        <f t="shared" ref="X276:X339" si="274">IMABS(W276)</f>
        <v>1.0045078951676816</v>
      </c>
      <c r="Y276" s="4">
        <f t="shared" ref="Y276:Y339" si="275">IMARGUMENT(W276)</f>
        <v>-9.4773686105699667E-2</v>
      </c>
      <c r="Z276" t="str">
        <f t="shared" si="261"/>
        <v>0,99994218240917+0,0130602640272009i</v>
      </c>
      <c r="AA276" s="4">
        <f t="shared" ref="AA276:AA339" si="276">IMABS(Z276)</f>
        <v>1.0000274689515654</v>
      </c>
      <c r="AB276" s="4">
        <f t="shared" ref="AB276:AB339" si="277">IMARGUMENT(Z276)</f>
        <v>1.3060276565817871E-2</v>
      </c>
      <c r="AC276" s="47" t="str">
        <f t="shared" ref="AC276:AC339" si="278">(IMDIV(IMPRODUCT(P276,T276,W276),IMPRODUCT(Q276,Z276)))</f>
        <v>0,107449067531161-0,300770422313929i</v>
      </c>
      <c r="AD276" s="20">
        <f t="shared" ref="AD276:AD339" si="279">20*LOG(IMABS(AC276))</f>
        <v>-9.9136513267883046</v>
      </c>
      <c r="AE276" s="43">
        <f t="shared" ref="AE276:AE339" si="280">(180/PI())*IMARGUMENT(AC276)</f>
        <v>-70.340928683880279</v>
      </c>
      <c r="AF276" t="str">
        <f t="shared" si="262"/>
        <v>171,265703090588</v>
      </c>
      <c r="AG276" t="str">
        <f t="shared" si="263"/>
        <v>1+188,594964417601i</v>
      </c>
      <c r="AH276">
        <f t="shared" ref="AH276:AH339" si="281">IMABS(AG276)</f>
        <v>188.59761558322043</v>
      </c>
      <c r="AI276">
        <f t="shared" ref="AI276:AI339" si="282">IMARGUMENT(AG276)</f>
        <v>1.5654940079787913</v>
      </c>
      <c r="AJ276" t="str">
        <f t="shared" si="264"/>
        <v>1+0,477760085781366i</v>
      </c>
      <c r="AK276">
        <f t="shared" ref="AK276:AK339" si="283">IMABS(AJ276)</f>
        <v>1.1082665291191547</v>
      </c>
      <c r="AL276">
        <f t="shared" ref="AL276:AL339" si="284">IMARGUMENT(AJ276)</f>
        <v>0.44569790855213098</v>
      </c>
      <c r="AM276" t="str">
        <f t="shared" si="265"/>
        <v>1-0,0300322523916911i</v>
      </c>
      <c r="AN276">
        <f t="shared" ref="AN276:AN339" si="285">IMABS(AM276)</f>
        <v>1.0004508664515805</v>
      </c>
      <c r="AO276">
        <f t="shared" ref="AO276:AO339" si="286">IMARGUMENT(AM276)</f>
        <v>-3.0023228216355894E-2</v>
      </c>
      <c r="AP276" s="41" t="str">
        <f t="shared" ref="AP276:AP339" si="287">(IMDIV(IMPRODUCT(AF276,AJ276,AM276),IMPRODUCT(AG276)))</f>
        <v>0,411460530684499-0,918961964982077i</v>
      </c>
      <c r="AQ276">
        <f t="shared" ref="AQ276:AQ339" si="288">20*LOG(IMABS(AP276))</f>
        <v>5.9483720484997678E-2</v>
      </c>
      <c r="AR276" s="43">
        <f t="shared" ref="AR276:AR339" si="289">(180/PI())*IMARGUMENT(AP276)</f>
        <v>-65.879794676514862</v>
      </c>
      <c r="AS276" t="str">
        <f t="shared" si="266"/>
        <v>-0,0000166666666666667</v>
      </c>
      <c r="AT276" t="str">
        <f t="shared" si="267"/>
        <v>0,000036357542527962i</v>
      </c>
      <c r="AU276">
        <f t="shared" ref="AU276:AU339" si="290">IMABS(AT276)</f>
        <v>3.6357542527961999E-5</v>
      </c>
      <c r="AV276">
        <f t="shared" ref="AV276:AV339" si="291">IMARGUMENT(AT276)</f>
        <v>1.5707963267948966</v>
      </c>
      <c r="AW276" t="str">
        <f t="shared" si="268"/>
        <v>1+0,113946722167303i</v>
      </c>
      <c r="AX276">
        <f t="shared" ref="AX276:AX339" si="292">IMABS(AW276)</f>
        <v>1.0064709908848206</v>
      </c>
      <c r="AY276">
        <f t="shared" ref="AY276:AY339" si="293">IMARGUMENT(AW276)</f>
        <v>0.1134573728077454</v>
      </c>
      <c r="AZ276" t="str">
        <f t="shared" si="269"/>
        <v>1+7,88304141539254i</v>
      </c>
      <c r="BA276">
        <f t="shared" ref="BA276:BA339" si="294">IMABS(AZ276)</f>
        <v>7.9462155745231335</v>
      </c>
      <c r="BB276">
        <f t="shared" ref="BB276:BB339" si="295">IMARGUMENT(AZ276)</f>
        <v>1.4446156914859161</v>
      </c>
      <c r="BC276" s="41" t="str">
        <f t="shared" ref="BC276:BC339" si="296">IMPRODUCT(AS276,IMDIV(AZ276,IMPRODUCT(AT276,AW276)))</f>
        <v>-3,51578346968437+0,859022156147967i</v>
      </c>
      <c r="BD276">
        <f t="shared" ref="BD276:BD339" si="297">20*LOG(IMABS(BC276))</f>
        <v>11.172266197209964</v>
      </c>
      <c r="BE276" s="43">
        <f t="shared" ref="BE276:BE339" si="298">(180/PI())*IMARGUMENT(BC276)</f>
        <v>166.26975352398983</v>
      </c>
      <c r="BF276" s="41" t="str">
        <f t="shared" ref="BF276:BF339" si="299">IMPRODUCT(AC276,BC276)</f>
        <v>-0,11939919877741+1,149744808608i</v>
      </c>
      <c r="BG276" s="20">
        <f t="shared" ref="BG276:BG339" si="300">20*LOG(IMABS(BF276))</f>
        <v>1.2586148704216249</v>
      </c>
      <c r="BH276" s="43">
        <f t="shared" ref="BH276:BH339" si="301">(180/PI())*IMARGUMENT(BF276)</f>
        <v>95.928824840109598</v>
      </c>
      <c r="BI276" s="41" t="str">
        <f t="shared" si="255"/>
        <v>-0,657197443631244+3,58432499799104i</v>
      </c>
      <c r="BJ276" s="20">
        <f t="shared" ref="BJ276:BJ339" si="302">20*LOG(IMABS(BI276))</f>
        <v>11.231749917694966</v>
      </c>
      <c r="BK276" s="43">
        <f t="shared" si="256"/>
        <v>100.38995884747496</v>
      </c>
      <c r="BL276">
        <f t="shared" ref="BL276:BL339" si="303">IF($B$31=0,BJ276,BG276)</f>
        <v>1.2586148704216249</v>
      </c>
      <c r="BM276" s="43">
        <f t="shared" ref="BM276:BM339" si="304">IF($B$31=0,BK276,BH276)</f>
        <v>95.928824840109598</v>
      </c>
    </row>
    <row r="277" spans="14:65" x14ac:dyDescent="0.25">
      <c r="N277" s="9">
        <v>59</v>
      </c>
      <c r="O277" s="34">
        <f t="shared" si="254"/>
        <v>3890.451449942811</v>
      </c>
      <c r="P277" s="33" t="str">
        <f t="shared" si="257"/>
        <v>54,631621870174</v>
      </c>
      <c r="Q277" s="4" t="str">
        <f t="shared" si="258"/>
        <v>1+194,852648713692i</v>
      </c>
      <c r="R277" s="4">
        <f t="shared" si="270"/>
        <v>194.85521473838327</v>
      </c>
      <c r="S277" s="4">
        <f t="shared" si="271"/>
        <v>1.5656642886762762</v>
      </c>
      <c r="T277" s="4" t="str">
        <f t="shared" si="259"/>
        <v>1+0,488888547771524i</v>
      </c>
      <c r="U277" s="4">
        <f t="shared" si="272"/>
        <v>1.1131091645216789</v>
      </c>
      <c r="V277" s="4">
        <f t="shared" si="273"/>
        <v>0.45471899950699696</v>
      </c>
      <c r="W277" t="str">
        <f t="shared" si="260"/>
        <v>1-0,0972726594016481i</v>
      </c>
      <c r="X277" s="4">
        <f t="shared" si="274"/>
        <v>1.0047198466573004</v>
      </c>
      <c r="Y277" s="4">
        <f t="shared" si="275"/>
        <v>-9.6967592454750506E-2</v>
      </c>
      <c r="Z277" t="str">
        <f t="shared" si="261"/>
        <v>0,999939457550063+0,0133644766563711i</v>
      </c>
      <c r="AA277" s="4">
        <f t="shared" si="276"/>
        <v>1.0000287635872345</v>
      </c>
      <c r="AB277" s="4">
        <f t="shared" si="277"/>
        <v>1.336449009127944E-2</v>
      </c>
      <c r="AC277" s="47" t="str">
        <f t="shared" si="278"/>
        <v>0,107372796304469-0,294588949890107i</v>
      </c>
      <c r="AD277" s="20">
        <f t="shared" si="279"/>
        <v>-10.073953825262972</v>
      </c>
      <c r="AE277" s="43">
        <f t="shared" si="280"/>
        <v>-69.974039014117039</v>
      </c>
      <c r="AF277" t="str">
        <f t="shared" si="262"/>
        <v>171,265703090588</v>
      </c>
      <c r="AG277" t="str">
        <f t="shared" si="263"/>
        <v>1+192,987905467969i</v>
      </c>
      <c r="AH277">
        <f t="shared" si="281"/>
        <v>192.99049628651082</v>
      </c>
      <c r="AI277">
        <f t="shared" si="282"/>
        <v>1.5656147013048869</v>
      </c>
      <c r="AJ277" t="str">
        <f t="shared" si="264"/>
        <v>1+0,488888547771524i</v>
      </c>
      <c r="AK277">
        <f t="shared" si="283"/>
        <v>1.1131091645216789</v>
      </c>
      <c r="AL277">
        <f t="shared" si="284"/>
        <v>0.45471899950699696</v>
      </c>
      <c r="AM277" t="str">
        <f t="shared" si="265"/>
        <v>1-0,0307317934148245i</v>
      </c>
      <c r="AN277">
        <f t="shared" si="285"/>
        <v>1.0004721101192635</v>
      </c>
      <c r="AO277">
        <f t="shared" si="286"/>
        <v>-3.0722124083161873E-2</v>
      </c>
      <c r="AP277" s="41" t="str">
        <f t="shared" si="287"/>
        <v>0,411244339499673-0,898645054998303i</v>
      </c>
      <c r="AQ277">
        <f t="shared" si="288"/>
        <v>-0.10245552571690818</v>
      </c>
      <c r="AR277" s="43">
        <f t="shared" si="289"/>
        <v>-65.409883239885204</v>
      </c>
      <c r="AS277" t="str">
        <f t="shared" si="266"/>
        <v>-0,0000166666666666667</v>
      </c>
      <c r="AT277" t="str">
        <f t="shared" si="267"/>
        <v>0,000037204418485413i</v>
      </c>
      <c r="AU277">
        <f t="shared" si="290"/>
        <v>3.7204418485413001E-5</v>
      </c>
      <c r="AV277">
        <f t="shared" si="291"/>
        <v>1.5707963267948966</v>
      </c>
      <c r="AW277" t="str">
        <f t="shared" si="268"/>
        <v>1+0,116600882287164i</v>
      </c>
      <c r="AX277">
        <f t="shared" si="292"/>
        <v>1.0067749330163842</v>
      </c>
      <c r="AY277">
        <f t="shared" si="293"/>
        <v>0.11607672538394501</v>
      </c>
      <c r="AZ277" t="str">
        <f t="shared" si="269"/>
        <v>1+8,06666103823015i</v>
      </c>
      <c r="BA277">
        <f t="shared" si="294"/>
        <v>8.1284082270577631</v>
      </c>
      <c r="BB277">
        <f t="shared" si="295"/>
        <v>1.4474585407075575</v>
      </c>
      <c r="BC277" s="41" t="str">
        <f t="shared" si="296"/>
        <v>-3,51366098255406+0,857671435505769i</v>
      </c>
      <c r="BD277">
        <f t="shared" si="297"/>
        <v>11.166546834922237</v>
      </c>
      <c r="BE277" s="43">
        <f t="shared" si="298"/>
        <v>166.282558938509</v>
      </c>
      <c r="BF277" s="41" t="str">
        <f t="shared" si="299"/>
        <v>-0,124611077426352+1,12717627946116i</v>
      </c>
      <c r="BG277" s="20">
        <f t="shared" si="300"/>
        <v>1.0925930096592333</v>
      </c>
      <c r="BH277" s="43">
        <f t="shared" si="301"/>
        <v>96.308519924391973</v>
      </c>
      <c r="BI277" s="41" t="str">
        <f t="shared" si="255"/>
        <v>-0,674230995665661+3,51024658991499i</v>
      </c>
      <c r="BJ277" s="20">
        <f t="shared" si="302"/>
        <v>11.064091309205327</v>
      </c>
      <c r="BK277" s="43">
        <f t="shared" si="256"/>
        <v>100.87267569862379</v>
      </c>
      <c r="BL277">
        <f t="shared" si="303"/>
        <v>1.0925930096592333</v>
      </c>
      <c r="BM277" s="43">
        <f t="shared" si="304"/>
        <v>96.308519924391973</v>
      </c>
    </row>
    <row r="278" spans="14:65" x14ac:dyDescent="0.25">
      <c r="N278" s="9">
        <v>60</v>
      </c>
      <c r="O278" s="34">
        <f t="shared" si="254"/>
        <v>3981.0717055349769</v>
      </c>
      <c r="P278" s="33" t="str">
        <f t="shared" si="257"/>
        <v>54,631621870174</v>
      </c>
      <c r="Q278" s="4" t="str">
        <f t="shared" si="258"/>
        <v>1+199,391349956064i</v>
      </c>
      <c r="R278" s="4">
        <f t="shared" si="270"/>
        <v>199.3938575716453</v>
      </c>
      <c r="S278" s="4">
        <f t="shared" si="271"/>
        <v>1.5657811061443507</v>
      </c>
      <c r="T278" s="4" t="str">
        <f t="shared" si="259"/>
        <v>1+0,500276224940914i</v>
      </c>
      <c r="U278" s="4">
        <f t="shared" si="272"/>
        <v>1.1181575475938674</v>
      </c>
      <c r="V278" s="4">
        <f t="shared" si="273"/>
        <v>0.46386856453656916</v>
      </c>
      <c r="W278" t="str">
        <f t="shared" si="260"/>
        <v>1-0,0995384307062189i</v>
      </c>
      <c r="X278" s="4">
        <f t="shared" si="274"/>
        <v>1.0049417392005653</v>
      </c>
      <c r="Y278" s="4">
        <f t="shared" si="275"/>
        <v>-9.9211632336416972E-2</v>
      </c>
      <c r="Z278" t="str">
        <f t="shared" si="261"/>
        <v>0,999936604272302+0,0136757753079642i</v>
      </c>
      <c r="AA278" s="4">
        <f t="shared" si="276"/>
        <v>1.0000301192433636</v>
      </c>
      <c r="AB278" s="4">
        <f t="shared" si="277"/>
        <v>1.3675789703209708E-2</v>
      </c>
      <c r="AC278" s="47" t="str">
        <f t="shared" si="278"/>
        <v>0,10729916599401-0,288563634120358i</v>
      </c>
      <c r="AD278" s="20">
        <f t="shared" si="279"/>
        <v>-10.232737559267232</v>
      </c>
      <c r="AE278" s="43">
        <f t="shared" si="280"/>
        <v>-69.602910869642258</v>
      </c>
      <c r="AF278" t="str">
        <f t="shared" si="262"/>
        <v>171,265703090588</v>
      </c>
      <c r="AG278" t="str">
        <f t="shared" si="263"/>
        <v>1+197,483171260313i</v>
      </c>
      <c r="AH278">
        <f t="shared" si="281"/>
        <v>197.48570310538966</v>
      </c>
      <c r="AI278">
        <f t="shared" si="282"/>
        <v>1.5657326474613407</v>
      </c>
      <c r="AJ278" t="str">
        <f t="shared" si="264"/>
        <v>1+0,500276224940914i</v>
      </c>
      <c r="AK278">
        <f t="shared" si="283"/>
        <v>1.1181575475938674</v>
      </c>
      <c r="AL278">
        <f t="shared" si="284"/>
        <v>0.46386856453656916</v>
      </c>
      <c r="AM278" t="str">
        <f t="shared" si="265"/>
        <v>1-0,0314476288416096i</v>
      </c>
      <c r="AN278">
        <f t="shared" si="285"/>
        <v>1.0004943544867004</v>
      </c>
      <c r="AO278">
        <f t="shared" si="286"/>
        <v>-3.1437268242538216E-2</v>
      </c>
      <c r="AP278" s="41" t="str">
        <f t="shared" si="287"/>
        <v>0,411037878010265-0,878804517656041i</v>
      </c>
      <c r="AQ278">
        <f t="shared" si="288"/>
        <v>-0.26295233458361206</v>
      </c>
      <c r="AR278" s="43">
        <f t="shared" si="289"/>
        <v>-64.933384338360398</v>
      </c>
      <c r="AS278" t="str">
        <f t="shared" si="266"/>
        <v>-0,0000166666666666667</v>
      </c>
      <c r="AT278" t="str">
        <f t="shared" si="267"/>
        <v>0,0000380710207180036i</v>
      </c>
      <c r="AU278">
        <f t="shared" si="290"/>
        <v>3.8071020718003602E-5</v>
      </c>
      <c r="AV278">
        <f t="shared" si="291"/>
        <v>1.5707963267948966</v>
      </c>
      <c r="AW278" t="str">
        <f t="shared" si="268"/>
        <v>1+0,119316865738207i</v>
      </c>
      <c r="AX278">
        <f t="shared" si="292"/>
        <v>1.0070931011826014</v>
      </c>
      <c r="AY278">
        <f t="shared" si="293"/>
        <v>0.11875543492144718</v>
      </c>
      <c r="AZ278" t="str">
        <f t="shared" si="269"/>
        <v>1+8,25455771152508i</v>
      </c>
      <c r="BA278">
        <f t="shared" si="294"/>
        <v>8.3149096815839307</v>
      </c>
      <c r="BB278">
        <f t="shared" si="295"/>
        <v>1.4502386163168024</v>
      </c>
      <c r="BC278" s="41" t="str">
        <f t="shared" si="296"/>
        <v>-3,51144121066377+0,856752457838034i</v>
      </c>
      <c r="BD278">
        <f t="shared" si="297"/>
        <v>11.160842880780686</v>
      </c>
      <c r="BE278" s="43">
        <f t="shared" si="298"/>
        <v>166.28836678660562</v>
      </c>
      <c r="BF278" s="41" t="str">
        <f t="shared" si="299"/>
        <v>-0,129547110565927+1,10520306093847i</v>
      </c>
      <c r="BG278" s="20">
        <f t="shared" si="300"/>
        <v>0.92810532151348479</v>
      </c>
      <c r="BH278" s="43">
        <f t="shared" si="301"/>
        <v>96.685455916963306</v>
      </c>
      <c r="BI278" s="41" t="str">
        <f t="shared" si="255"/>
        <v>-0,690417413528051+3,43802811166474i</v>
      </c>
      <c r="BJ278" s="20">
        <f t="shared" si="302"/>
        <v>10.897890546197065</v>
      </c>
      <c r="BK278" s="43">
        <f t="shared" si="256"/>
        <v>101.35498244824524</v>
      </c>
      <c r="BL278">
        <f t="shared" si="303"/>
        <v>0.92810532151348479</v>
      </c>
      <c r="BM278" s="43">
        <f t="shared" si="304"/>
        <v>96.685455916963306</v>
      </c>
    </row>
    <row r="279" spans="14:65" x14ac:dyDescent="0.25">
      <c r="N279" s="9">
        <v>61</v>
      </c>
      <c r="O279" s="34">
        <f t="shared" si="254"/>
        <v>4073.8027780411317</v>
      </c>
      <c r="P279" s="33" t="str">
        <f t="shared" si="257"/>
        <v>54,631621870174</v>
      </c>
      <c r="Q279" s="4" t="str">
        <f t="shared" si="258"/>
        <v>1+204,03577113144i</v>
      </c>
      <c r="R279" s="4">
        <f t="shared" si="270"/>
        <v>204.03822166741543</v>
      </c>
      <c r="S279" s="4">
        <f t="shared" si="271"/>
        <v>1.5658952646544761</v>
      </c>
      <c r="T279" s="4" t="str">
        <f t="shared" si="259"/>
        <v>1+0,511929155186708i</v>
      </c>
      <c r="U279" s="4">
        <f t="shared" si="272"/>
        <v>1.1234195386987786</v>
      </c>
      <c r="V279" s="4">
        <f t="shared" si="273"/>
        <v>0.47314532629399397</v>
      </c>
      <c r="W279" t="str">
        <f t="shared" si="260"/>
        <v>1-0,101856978604297i</v>
      </c>
      <c r="X279" s="4">
        <f t="shared" si="274"/>
        <v>1.0051740367172224</v>
      </c>
      <c r="Y279" s="4">
        <f t="shared" si="275"/>
        <v>-0.10150690511792737</v>
      </c>
      <c r="Z279" t="str">
        <f t="shared" si="261"/>
        <v>0,999933616523702+0,013994325036646i</v>
      </c>
      <c r="AA279" s="4">
        <f t="shared" si="276"/>
        <v>1.0000315387963528</v>
      </c>
      <c r="AB279" s="4">
        <f t="shared" si="277"/>
        <v>1.3994340460848116E-2</v>
      </c>
      <c r="AC279" s="47" t="str">
        <f t="shared" si="278"/>
        <v>0,107228020447725-0,282691281886638i</v>
      </c>
      <c r="AD279" s="20">
        <f t="shared" si="279"/>
        <v>-10.38995795027332</v>
      </c>
      <c r="AE279" s="43">
        <f t="shared" si="280"/>
        <v>-69.227693431404361</v>
      </c>
      <c r="AF279" t="str">
        <f t="shared" si="262"/>
        <v>171,265703090588</v>
      </c>
      <c r="AG279" t="str">
        <f t="shared" si="263"/>
        <v>1+202,083145244058i</v>
      </c>
      <c r="AH279">
        <f t="shared" si="281"/>
        <v>202.08561945801844</v>
      </c>
      <c r="AI279">
        <f t="shared" si="282"/>
        <v>1.5658479089716322</v>
      </c>
      <c r="AJ279" t="str">
        <f t="shared" si="264"/>
        <v>1+0,511929155186708i</v>
      </c>
      <c r="AK279">
        <f t="shared" si="283"/>
        <v>1.1234195386987786</v>
      </c>
      <c r="AL279">
        <f t="shared" si="284"/>
        <v>0.47314532629399397</v>
      </c>
      <c r="AM279" t="str">
        <f t="shared" si="265"/>
        <v>1-0,0321801382174653i</v>
      </c>
      <c r="AN279">
        <f t="shared" si="285"/>
        <v>1.0005176466688106</v>
      </c>
      <c r="AO279">
        <f t="shared" si="286"/>
        <v>-3.2169036945735092E-2</v>
      </c>
      <c r="AP279" s="41" t="str">
        <f t="shared" si="287"/>
        <v>0,410840708352784-0,85942983997152i</v>
      </c>
      <c r="AQ279">
        <f t="shared" si="288"/>
        <v>-0.42196564602482933</v>
      </c>
      <c r="AR279" s="43">
        <f t="shared" si="289"/>
        <v>-64.450396298464639</v>
      </c>
      <c r="AS279" t="str">
        <f t="shared" si="266"/>
        <v>-0,0000166666666666667</v>
      </c>
      <c r="AT279" t="str">
        <f t="shared" si="267"/>
        <v>0,0000389578087097085i</v>
      </c>
      <c r="AU279">
        <f t="shared" si="290"/>
        <v>3.89578087097085E-5</v>
      </c>
      <c r="AV279">
        <f t="shared" si="291"/>
        <v>1.5707963267948966</v>
      </c>
      <c r="AW279" t="str">
        <f t="shared" si="268"/>
        <v>1+0,122096112570811i</v>
      </c>
      <c r="AX279">
        <f t="shared" si="292"/>
        <v>1.0074261564526228</v>
      </c>
      <c r="AY279">
        <f t="shared" si="293"/>
        <v>0.12149476785637375</v>
      </c>
      <c r="AZ279" t="str">
        <f t="shared" si="269"/>
        <v>1+8,44683106058068i</v>
      </c>
      <c r="BA279">
        <f t="shared" si="294"/>
        <v>8.5058188886191637</v>
      </c>
      <c r="BB279">
        <f t="shared" si="295"/>
        <v>1.4529572203607928</v>
      </c>
      <c r="BC279" s="41" t="str">
        <f t="shared" si="296"/>
        <v>-3,50911982824984+0,856263137256258i</v>
      </c>
      <c r="BD279">
        <f t="shared" si="297"/>
        <v>11.155142749744115</v>
      </c>
      <c r="BE279" s="43">
        <f t="shared" si="298"/>
        <v>166.287179108641</v>
      </c>
      <c r="BF279" s="41" t="str">
        <f t="shared" si="299"/>
        <v>-0,134217848793845+1,08381298373211i</v>
      </c>
      <c r="BG279" s="20">
        <f t="shared" si="300"/>
        <v>0.76518479947076656</v>
      </c>
      <c r="BH279" s="43">
        <f t="shared" si="301"/>
        <v>97.059485677236651</v>
      </c>
      <c r="BI279" s="41" t="str">
        <f t="shared" si="255"/>
        <v>-0,705791184907307+3,36763004628039i</v>
      </c>
      <c r="BJ279" s="20">
        <f t="shared" si="302"/>
        <v>10.733177103719294</v>
      </c>
      <c r="BK279" s="43">
        <f t="shared" si="256"/>
        <v>101.83678281017636</v>
      </c>
      <c r="BL279">
        <f t="shared" si="303"/>
        <v>0.76518479947076656</v>
      </c>
      <c r="BM279" s="43">
        <f t="shared" si="304"/>
        <v>97.059485677236651</v>
      </c>
    </row>
    <row r="280" spans="14:65" x14ac:dyDescent="0.25">
      <c r="N280" s="9">
        <v>62</v>
      </c>
      <c r="O280" s="34">
        <f t="shared" si="254"/>
        <v>4168.6938347033583</v>
      </c>
      <c r="P280" s="33" t="str">
        <f t="shared" si="257"/>
        <v>54,631621870174</v>
      </c>
      <c r="Q280" s="4" t="str">
        <f t="shared" si="258"/>
        <v>1+208,788374773403i</v>
      </c>
      <c r="R280" s="4">
        <f t="shared" si="270"/>
        <v>208.79076952901673</v>
      </c>
      <c r="S280" s="4">
        <f t="shared" si="271"/>
        <v>1.5660068247230967</v>
      </c>
      <c r="T280" s="4" t="str">
        <f t="shared" si="259"/>
        <v>1+0,523853517046766i</v>
      </c>
      <c r="U280" s="4">
        <f t="shared" si="272"/>
        <v>1.1289032320452743</v>
      </c>
      <c r="V280" s="4">
        <f t="shared" si="273"/>
        <v>0.48254781578190931</v>
      </c>
      <c r="W280" t="str">
        <f t="shared" si="260"/>
        <v>1-0,104229532420668i</v>
      </c>
      <c r="X280" s="4">
        <f t="shared" si="274"/>
        <v>1.0054172245533846</v>
      </c>
      <c r="Y280" s="4">
        <f t="shared" si="275"/>
        <v>-0.10385453099320219</v>
      </c>
      <c r="Z280" t="str">
        <f t="shared" si="261"/>
        <v>0,99993048796685+0,014320294741699i</v>
      </c>
      <c r="AA280" s="4">
        <f t="shared" si="276"/>
        <v>1.0000330252582221</v>
      </c>
      <c r="AB280" s="4">
        <f t="shared" si="277"/>
        <v>1.4320311268377028E-2</v>
      </c>
      <c r="AC280" s="47" t="str">
        <f t="shared" si="278"/>
        <v>0,107159208782836-0,276968780998918i</v>
      </c>
      <c r="AD280" s="20">
        <f t="shared" si="279"/>
        <v>-10.545570120382351</v>
      </c>
      <c r="AE280" s="43">
        <f t="shared" si="280"/>
        <v>-68.848548193969691</v>
      </c>
      <c r="AF280" t="str">
        <f t="shared" si="262"/>
        <v>171,265703090588</v>
      </c>
      <c r="AG280" t="str">
        <f t="shared" si="263"/>
        <v>1+206,790266386299i</v>
      </c>
      <c r="AH280">
        <f t="shared" si="281"/>
        <v>206.79268428093994</v>
      </c>
      <c r="AI280">
        <f t="shared" si="282"/>
        <v>1.5659605469366826</v>
      </c>
      <c r="AJ280" t="str">
        <f t="shared" si="264"/>
        <v>1+0,523853517046766i</v>
      </c>
      <c r="AK280">
        <f t="shared" si="283"/>
        <v>1.1289032320452743</v>
      </c>
      <c r="AL280">
        <f t="shared" si="284"/>
        <v>0.48254781578190931</v>
      </c>
      <c r="AM280" t="str">
        <f t="shared" si="265"/>
        <v>1-0,0329297099285584i</v>
      </c>
      <c r="AN280">
        <f t="shared" si="285"/>
        <v>1.0005420359964787</v>
      </c>
      <c r="AO280">
        <f t="shared" si="286"/>
        <v>-3.2917815049600438E-2</v>
      </c>
      <c r="AP280" s="41" t="str">
        <f t="shared" si="287"/>
        <v>0,410652412366886-0,840510755516624i</v>
      </c>
      <c r="AQ280">
        <f t="shared" si="288"/>
        <v>-0.57945425897947023</v>
      </c>
      <c r="AR280" s="43">
        <f t="shared" si="289"/>
        <v>-63.961028839044587</v>
      </c>
      <c r="AS280" t="str">
        <f t="shared" si="266"/>
        <v>-0,0000166666666666667</v>
      </c>
      <c r="AT280" t="str">
        <f t="shared" si="267"/>
        <v>0,0000398652526472588i</v>
      </c>
      <c r="AU280">
        <f t="shared" si="290"/>
        <v>3.9865252647258798E-5</v>
      </c>
      <c r="AV280">
        <f t="shared" si="291"/>
        <v>1.5707963267948966</v>
      </c>
      <c r="AW280" t="str">
        <f t="shared" si="268"/>
        <v>1+0,124940096378434i</v>
      </c>
      <c r="AX280">
        <f t="shared" si="292"/>
        <v>1.0077747901605063</v>
      </c>
      <c r="AY280">
        <f t="shared" si="293"/>
        <v>0.12429601208457863</v>
      </c>
      <c r="AZ280" t="str">
        <f t="shared" si="269"/>
        <v>1+8,64358303127164i</v>
      </c>
      <c r="BA280">
        <f t="shared" si="294"/>
        <v>8.7012371314938335</v>
      </c>
      <c r="BB280">
        <f t="shared" si="295"/>
        <v>1.4556156334515336</v>
      </c>
      <c r="BC280" s="41" t="str">
        <f t="shared" si="296"/>
        <v>-3,50669232985334+0,856201506914033i</v>
      </c>
      <c r="BD280">
        <f t="shared" si="297"/>
        <v>11.149434863511999</v>
      </c>
      <c r="BE280" s="43">
        <f t="shared" si="298"/>
        <v>166.27899548728132</v>
      </c>
      <c r="BF280" s="41" t="str">
        <f t="shared" si="299"/>
        <v>-0,138633287852507+1,06299417597731i</v>
      </c>
      <c r="BG280" s="20">
        <f t="shared" si="300"/>
        <v>0.60386474312960947</v>
      </c>
      <c r="BH280" s="43">
        <f t="shared" si="301"/>
        <v>97.430447293311644</v>
      </c>
      <c r="BI280" s="41" t="str">
        <f t="shared" si="255"/>
        <v>-0,720385089231944+3,29901383381579i</v>
      </c>
      <c r="BJ280" s="20">
        <f t="shared" si="302"/>
        <v>10.569980604532523</v>
      </c>
      <c r="BK280" s="43">
        <f t="shared" si="256"/>
        <v>102.31796664823673</v>
      </c>
      <c r="BL280">
        <f t="shared" si="303"/>
        <v>0.60386474312960947</v>
      </c>
      <c r="BM280" s="43">
        <f t="shared" si="304"/>
        <v>97.430447293311644</v>
      </c>
    </row>
    <row r="281" spans="14:65" x14ac:dyDescent="0.25">
      <c r="N281" s="9">
        <v>63</v>
      </c>
      <c r="O281" s="34">
        <f t="shared" si="254"/>
        <v>4265.7951880159299</v>
      </c>
      <c r="P281" s="33" t="str">
        <f t="shared" si="257"/>
        <v>54,631621870174</v>
      </c>
      <c r="Q281" s="4" t="str">
        <f t="shared" si="258"/>
        <v>1+213,651680775311i</v>
      </c>
      <c r="R281" s="4">
        <f t="shared" si="270"/>
        <v>213.65402102023589</v>
      </c>
      <c r="S281" s="4">
        <f t="shared" si="271"/>
        <v>1.5661158454897239</v>
      </c>
      <c r="T281" s="4" t="str">
        <f t="shared" si="259"/>
        <v>1+0,536055632975582i</v>
      </c>
      <c r="U281" s="4">
        <f t="shared" si="272"/>
        <v>1.1346169581161969</v>
      </c>
      <c r="V281" s="4">
        <f t="shared" si="273"/>
        <v>0.49207436749234323</v>
      </c>
      <c r="W281" t="str">
        <f t="shared" si="260"/>
        <v>1-0,10665735011477i</v>
      </c>
      <c r="X281" s="4">
        <f t="shared" si="274"/>
        <v>1.0056718104498628</v>
      </c>
      <c r="Y281" s="4">
        <f t="shared" si="275"/>
        <v>-0.10625565113929285</v>
      </c>
      <c r="Z281" t="str">
        <f t="shared" si="261"/>
        <v>0,999927211965656+0,0146538572565755i</v>
      </c>
      <c r="AA281" s="4">
        <f t="shared" si="276"/>
        <v>1.0000345817830032</v>
      </c>
      <c r="AB281" s="4">
        <f t="shared" si="277"/>
        <v>1.4653874964498164E-2</v>
      </c>
      <c r="AC281" s="47" t="str">
        <f t="shared" si="278"/>
        <v>0,107092585066028-0,271393098551787i</v>
      </c>
      <c r="AD281" s="20">
        <f t="shared" si="279"/>
        <v>-10.699528966570956</v>
      </c>
      <c r="AE281" s="43">
        <f t="shared" si="280"/>
        <v>-68.465649259917114</v>
      </c>
      <c r="AF281" t="str">
        <f t="shared" si="262"/>
        <v>171,265703090588</v>
      </c>
      <c r="AG281" t="str">
        <f t="shared" si="263"/>
        <v>1+211,60703046497i</v>
      </c>
      <c r="AH281">
        <f t="shared" si="281"/>
        <v>211.60939332223117</v>
      </c>
      <c r="AI281">
        <f t="shared" si="282"/>
        <v>1.5660706210671929</v>
      </c>
      <c r="AJ281" t="str">
        <f t="shared" si="264"/>
        <v>1+0,536055632975582i</v>
      </c>
      <c r="AK281">
        <f t="shared" si="283"/>
        <v>1.1346169581161969</v>
      </c>
      <c r="AL281">
        <f t="shared" si="284"/>
        <v>0.49207436749234323</v>
      </c>
      <c r="AM281" t="str">
        <f t="shared" si="265"/>
        <v>1-0,0336967414077318i</v>
      </c>
      <c r="AN281">
        <f t="shared" si="285"/>
        <v>1.0005675741205586</v>
      </c>
      <c r="AO281">
        <f t="shared" si="286"/>
        <v>-3.3683996205744776E-2</v>
      </c>
      <c r="AP281" s="41" t="str">
        <f t="shared" si="287"/>
        <v>0,41047259070894-0,822037239005526i</v>
      </c>
      <c r="AQ281">
        <f t="shared" si="288"/>
        <v>-0.73537691242581116</v>
      </c>
      <c r="AR281" s="43">
        <f t="shared" si="289"/>
        <v>-63.465403362424851</v>
      </c>
      <c r="AS281" t="str">
        <f t="shared" si="266"/>
        <v>-0,0000166666666666667</v>
      </c>
      <c r="AT281" t="str">
        <f t="shared" si="267"/>
        <v>0,0000407938336694417i</v>
      </c>
      <c r="AU281">
        <f t="shared" si="290"/>
        <v>4.0793833669441701E-5</v>
      </c>
      <c r="AV281">
        <f t="shared" si="291"/>
        <v>1.5707963267948966</v>
      </c>
      <c r="AW281" t="str">
        <f t="shared" si="268"/>
        <v>1+0,127850325078933i</v>
      </c>
      <c r="AX281">
        <f t="shared" si="292"/>
        <v>1.0081397252478392</v>
      </c>
      <c r="AY281">
        <f t="shared" si="293"/>
        <v>0.12716047691848931</v>
      </c>
      <c r="AZ281" t="str">
        <f t="shared" si="269"/>
        <v>1+8,8449179440971i</v>
      </c>
      <c r="BA281">
        <f t="shared" si="294"/>
        <v>8.9012680803248969</v>
      </c>
      <c r="BB281">
        <f t="shared" si="295"/>
        <v>1.4582151147343529</v>
      </c>
      <c r="BC281" s="41" t="str">
        <f t="shared" si="296"/>
        <v>-3,50415402406402+0,856565710841108i</v>
      </c>
      <c r="BD281">
        <f t="shared" si="297"/>
        <v>11.143707630110791</v>
      </c>
      <c r="BE281" s="43">
        <f t="shared" si="298"/>
        <v>166.26381304816334</v>
      </c>
      <c r="BF281" s="41" t="str">
        <f t="shared" si="299"/>
        <v>-0,142802890528158+1,04273505464634i</v>
      </c>
      <c r="BG281" s="20">
        <f t="shared" si="300"/>
        <v>0.44417866353982488</v>
      </c>
      <c r="BH281" s="43">
        <f t="shared" si="301"/>
        <v>97.798163788246228</v>
      </c>
      <c r="BI281" s="41" t="str">
        <f t="shared" si="255"/>
        <v>-0,734230268534085+3,23214184543308i</v>
      </c>
      <c r="BJ281" s="20">
        <f t="shared" si="302"/>
        <v>10.408330717684965</v>
      </c>
      <c r="BK281" s="43">
        <f t="shared" si="256"/>
        <v>102.79840968573851</v>
      </c>
      <c r="BL281">
        <f t="shared" si="303"/>
        <v>0.44417866353982488</v>
      </c>
      <c r="BM281" s="43">
        <f t="shared" si="304"/>
        <v>97.798163788246228</v>
      </c>
    </row>
    <row r="282" spans="14:65" x14ac:dyDescent="0.25">
      <c r="N282" s="9">
        <v>64</v>
      </c>
      <c r="O282" s="34">
        <f t="shared" si="254"/>
        <v>4365.1583224016631</v>
      </c>
      <c r="P282" s="33" t="str">
        <f t="shared" si="257"/>
        <v>54,631621870174</v>
      </c>
      <c r="Q282" s="4" t="str">
        <f t="shared" si="258"/>
        <v>1+218,62826772638i</v>
      </c>
      <c r="R282" s="4">
        <f t="shared" si="270"/>
        <v>218.63055470139045</v>
      </c>
      <c r="S282" s="4">
        <f t="shared" si="271"/>
        <v>1.5662223847482388</v>
      </c>
      <c r="T282" s="4" t="str">
        <f t="shared" si="259"/>
        <v>1+0,548541972696536i</v>
      </c>
      <c r="U282" s="4">
        <f t="shared" si="272"/>
        <v>1.1405692858436121</v>
      </c>
      <c r="V282" s="4">
        <f t="shared" si="273"/>
        <v>0.50172311502349554</v>
      </c>
      <c r="W282" t="str">
        <f t="shared" si="260"/>
        <v>1-0,109141718947678i</v>
      </c>
      <c r="X282" s="4">
        <f t="shared" si="274"/>
        <v>1.0059383255522447</v>
      </c>
      <c r="Y282" s="4">
        <f t="shared" si="275"/>
        <v>-0.10871142785453074</v>
      </c>
      <c r="Z282" t="str">
        <f t="shared" si="261"/>
        <v>0,999923781571281+0,0149951894405361i</v>
      </c>
      <c r="AA282" s="4">
        <f t="shared" si="276"/>
        <v>1.0000362116734416</v>
      </c>
      <c r="AB282" s="4">
        <f t="shared" si="277"/>
        <v>1.4995208414095915E-2</v>
      </c>
      <c r="AC282" s="47" t="str">
        <f t="shared" si="278"/>
        <v>0,107028008004123-0,265961279322283i</v>
      </c>
      <c r="AD282" s="20">
        <f t="shared" si="279"/>
        <v>-10.85178923931748</v>
      </c>
      <c r="AE282" s="43">
        <f t="shared" si="280"/>
        <v>-68.079183605938425</v>
      </c>
      <c r="AF282" t="str">
        <f t="shared" si="262"/>
        <v>171,265703090588</v>
      </c>
      <c r="AG282" t="str">
        <f t="shared" si="263"/>
        <v>1+216,535991392144i</v>
      </c>
      <c r="AH282">
        <f t="shared" si="281"/>
        <v>216.53830046478768</v>
      </c>
      <c r="AI282">
        <f t="shared" si="282"/>
        <v>1.566178189715248</v>
      </c>
      <c r="AJ282" t="str">
        <f t="shared" si="264"/>
        <v>1+0,548541972696536i</v>
      </c>
      <c r="AK282">
        <f t="shared" si="283"/>
        <v>1.1405692858436121</v>
      </c>
      <c r="AL282">
        <f t="shared" si="284"/>
        <v>0.50172311502349554</v>
      </c>
      <c r="AM282" t="str">
        <f t="shared" si="265"/>
        <v>1-0,0344816393452286i</v>
      </c>
      <c r="AN282">
        <f t="shared" si="285"/>
        <v>1.0005943151207359</v>
      </c>
      <c r="AO282">
        <f t="shared" si="286"/>
        <v>-3.4467983053309635E-2</v>
      </c>
      <c r="AP282" s="41" t="str">
        <f t="shared" si="287"/>
        <v>0,410300862005447-0,8039995010071i</v>
      </c>
      <c r="AQ282">
        <f t="shared" si="288"/>
        <v>-0.88969237102547094</v>
      </c>
      <c r="AR282" s="43">
        <f t="shared" si="289"/>
        <v>-62.96365321840328</v>
      </c>
      <c r="AS282" t="str">
        <f t="shared" si="266"/>
        <v>-0,0000166666666666667</v>
      </c>
      <c r="AT282" t="str">
        <f t="shared" si="267"/>
        <v>0,0000417440441222064i</v>
      </c>
      <c r="AU282">
        <f t="shared" si="290"/>
        <v>4.1744044122206403E-5</v>
      </c>
      <c r="AV282">
        <f t="shared" si="291"/>
        <v>1.5707963267948966</v>
      </c>
      <c r="AW282" t="str">
        <f t="shared" si="268"/>
        <v>1+0,130828341714088i</v>
      </c>
      <c r="AX282">
        <f t="shared" si="292"/>
        <v>1.0085217176618748</v>
      </c>
      <c r="AY282">
        <f t="shared" si="293"/>
        <v>0.13008949300786637</v>
      </c>
      <c r="AZ282" t="str">
        <f t="shared" si="269"/>
        <v>1+9,05094254949285i</v>
      </c>
      <c r="BA282">
        <f t="shared" si="294"/>
        <v>9.1060178472381743</v>
      </c>
      <c r="BB282">
        <f t="shared" si="295"/>
        <v>1.460756901888796</v>
      </c>
      <c r="BC282" s="41" t="str">
        <f t="shared" si="296"/>
        <v>-3,50150002716601+0,857353995402932i</v>
      </c>
      <c r="BD282">
        <f t="shared" si="297"/>
        <v>11.137949423472623</v>
      </c>
      <c r="BE282" s="43">
        <f t="shared" si="298"/>
        <v>166.24162646448627</v>
      </c>
      <c r="BF282" s="41" t="str">
        <f t="shared" si="299"/>
        <v>-0,146735607484526+1,02302431705443i</v>
      </c>
      <c r="BG282" s="20">
        <f t="shared" si="300"/>
        <v>0.28616018415512345</v>
      </c>
      <c r="BH282" s="43">
        <f t="shared" si="301"/>
        <v>98.162442858547877</v>
      </c>
      <c r="BI282" s="41" t="str">
        <f t="shared" si="255"/>
        <v>-0,747356294967909+3,16697735797546i</v>
      </c>
      <c r="BJ282" s="20">
        <f t="shared" si="302"/>
        <v>10.248257052447162</v>
      </c>
      <c r="BK282" s="43">
        <f t="shared" si="256"/>
        <v>103.27797324608299</v>
      </c>
      <c r="BL282">
        <f t="shared" si="303"/>
        <v>0.28616018415512345</v>
      </c>
      <c r="BM282" s="43">
        <f t="shared" si="304"/>
        <v>98.162442858547877</v>
      </c>
    </row>
    <row r="283" spans="14:65" x14ac:dyDescent="0.25">
      <c r="N283" s="9">
        <v>65</v>
      </c>
      <c r="O283" s="34">
        <f t="shared" si="254"/>
        <v>4466.8359215096343</v>
      </c>
      <c r="P283" s="33" t="str">
        <f t="shared" si="257"/>
        <v>54,631621870174</v>
      </c>
      <c r="Q283" s="4" t="str">
        <f t="shared" si="258"/>
        <v>1+223,720774278885i</v>
      </c>
      <c r="R283" s="4">
        <f t="shared" si="270"/>
        <v>223.72300919651474</v>
      </c>
      <c r="S283" s="4">
        <f t="shared" si="271"/>
        <v>1.5663264989774868</v>
      </c>
      <c r="T283" s="4" t="str">
        <f t="shared" si="259"/>
        <v>1+0,561319156632226i</v>
      </c>
      <c r="U283" s="4">
        <f t="shared" si="272"/>
        <v>1.1467690245216398</v>
      </c>
      <c r="V283" s="4">
        <f t="shared" si="273"/>
        <v>0.51149198722881606</v>
      </c>
      <c r="W283" t="str">
        <f t="shared" si="260"/>
        <v>1-0,111683956164635i</v>
      </c>
      <c r="X283" s="4">
        <f t="shared" si="274"/>
        <v>1.0062173254643274</v>
      </c>
      <c r="Y283" s="4">
        <f t="shared" si="275"/>
        <v>-0.11122304467658936</v>
      </c>
      <c r="Z283" t="str">
        <f t="shared" si="261"/>
        <v>0,999920189507401+0,015344472272423i</v>
      </c>
      <c r="AA283" s="4">
        <f t="shared" si="276"/>
        <v>1.0000379183880159</v>
      </c>
      <c r="AB283" s="4">
        <f t="shared" si="277"/>
        <v>1.5344492602037244E-2</v>
      </c>
      <c r="AC283" s="47" t="str">
        <f t="shared" si="278"/>
        <v>0,106965340644584-0,260670444208137i</v>
      </c>
      <c r="AD283" s="20">
        <f t="shared" si="279"/>
        <v>-11.002305625414531</v>
      </c>
      <c r="AE283" s="43">
        <f t="shared" si="280"/>
        <v>-67.689351317371703</v>
      </c>
      <c r="AF283" t="str">
        <f t="shared" si="262"/>
        <v>171,265703090588</v>
      </c>
      <c r="AG283" t="str">
        <f t="shared" si="263"/>
        <v>1+221,579762568146i</v>
      </c>
      <c r="AH283">
        <f t="shared" si="281"/>
        <v>221.58201908042076</v>
      </c>
      <c r="AI283">
        <f t="shared" si="282"/>
        <v>1.5662833099052063</v>
      </c>
      <c r="AJ283" t="str">
        <f t="shared" si="264"/>
        <v>1+0,561319156632226i</v>
      </c>
      <c r="AK283">
        <f t="shared" si="283"/>
        <v>1.1467690245216398</v>
      </c>
      <c r="AL283">
        <f t="shared" si="284"/>
        <v>0.51149198722881606</v>
      </c>
      <c r="AM283" t="str">
        <f t="shared" si="265"/>
        <v>1-0,0352848199043247i</v>
      </c>
      <c r="AN283">
        <f t="shared" si="285"/>
        <v>1.0006223156194751</v>
      </c>
      <c r="AO283">
        <f t="shared" si="286"/>
        <v>-3.5270187415367756E-2</v>
      </c>
      <c r="AP283" s="41" t="str">
        <f t="shared" si="287"/>
        <v>0,410136862044549-0,786387982780563i</v>
      </c>
      <c r="AQ283">
        <f t="shared" si="288"/>
        <v>-1.0423595152130578</v>
      </c>
      <c r="AR283" s="43">
        <f t="shared" si="289"/>
        <v>-62.45592393791491</v>
      </c>
      <c r="AS283" t="str">
        <f t="shared" si="266"/>
        <v>-0,0000166666666666667</v>
      </c>
      <c r="AT283" t="str">
        <f t="shared" si="267"/>
        <v>0,0000427163878197124i</v>
      </c>
      <c r="AU283">
        <f t="shared" si="290"/>
        <v>4.2716387819712402E-5</v>
      </c>
      <c r="AV283">
        <f t="shared" si="291"/>
        <v>1.5707963267948966</v>
      </c>
      <c r="AW283" t="str">
        <f t="shared" si="268"/>
        <v>1+0,133875725267738i</v>
      </c>
      <c r="AX283">
        <f t="shared" si="292"/>
        <v>1.0089215578110931</v>
      </c>
      <c r="AY283">
        <f t="shared" si="293"/>
        <v>0.13308441222154951</v>
      </c>
      <c r="AZ283" t="str">
        <f t="shared" si="269"/>
        <v>1+9,26176608443173i</v>
      </c>
      <c r="BA283">
        <f t="shared" si="294"/>
        <v>9.3155950428692353</v>
      </c>
      <c r="BB283">
        <f t="shared" si="295"/>
        <v>1.4632422111594032</v>
      </c>
      <c r="BC283" s="41" t="str">
        <f t="shared" si="296"/>
        <v>-3,49872525669672+0,858564700358683i</v>
      </c>
      <c r="BD283">
        <f t="shared" si="297"/>
        <v>11.132148562993551</v>
      </c>
      <c r="BE283" s="43">
        <f t="shared" si="298"/>
        <v>166.21242796555015</v>
      </c>
      <c r="BF283" s="41" t="str">
        <f t="shared" si="299"/>
        <v>-0,15043989708045+1,00385093246464i</v>
      </c>
      <c r="BG283" s="20">
        <f t="shared" si="300"/>
        <v>0.12984293757898782</v>
      </c>
      <c r="BH283" s="43">
        <f t="shared" si="301"/>
        <v>98.523076648178431</v>
      </c>
      <c r="BI283" s="41" t="str">
        <f t="shared" si="255"/>
        <v>-0,759791235135939+3,10348452898447i</v>
      </c>
      <c r="BJ283" s="20">
        <f t="shared" si="302"/>
        <v>10.08978904778049</v>
      </c>
      <c r="BK283" s="43">
        <f t="shared" si="256"/>
        <v>103.75650402763523</v>
      </c>
      <c r="BL283">
        <f t="shared" si="303"/>
        <v>0.12984293757898782</v>
      </c>
      <c r="BM283" s="43">
        <f t="shared" si="304"/>
        <v>98.523076648178431</v>
      </c>
    </row>
    <row r="284" spans="14:65" x14ac:dyDescent="0.25">
      <c r="N284" s="9">
        <v>66</v>
      </c>
      <c r="O284" s="34">
        <f t="shared" ref="O284:O318" si="305">10^(3+(N284/100))</f>
        <v>4570.8818961487532</v>
      </c>
      <c r="P284" s="33" t="str">
        <f t="shared" si="257"/>
        <v>54,631621870174</v>
      </c>
      <c r="Q284" s="4" t="str">
        <f t="shared" si="258"/>
        <v>1+228,931900547208i</v>
      </c>
      <c r="R284" s="4">
        <f t="shared" si="270"/>
        <v>228.93408459239251</v>
      </c>
      <c r="S284" s="4">
        <f t="shared" si="271"/>
        <v>1.5664282433711767</v>
      </c>
      <c r="T284" s="4" t="str">
        <f t="shared" si="259"/>
        <v>1+0,5743939594147i</v>
      </c>
      <c r="U284" s="4">
        <f t="shared" si="272"/>
        <v>1.1532252254490865</v>
      </c>
      <c r="V284" s="4">
        <f t="shared" si="273"/>
        <v>0.52137870495367633</v>
      </c>
      <c r="W284" t="str">
        <f t="shared" si="260"/>
        <v>1-0,114285409693462i</v>
      </c>
      <c r="X284" s="4">
        <f t="shared" si="274"/>
        <v>1.0065093913465499</v>
      </c>
      <c r="Y284" s="4">
        <f t="shared" si="275"/>
        <v>-0.11379170647850108</v>
      </c>
      <c r="Z284" t="str">
        <f t="shared" si="261"/>
        <v>0,999916428154766+0,0157018909466168i</v>
      </c>
      <c r="AA284" s="4">
        <f t="shared" si="276"/>
        <v>1.0000397055482773</v>
      </c>
      <c r="AB284" s="4">
        <f t="shared" si="277"/>
        <v>1.5701912729157115E-2</v>
      </c>
      <c r="AC284" s="47" t="str">
        <f t="shared" si="278"/>
        <v>0,106904450085228-0,255517788705633i</v>
      </c>
      <c r="AD284" s="20">
        <f t="shared" si="279"/>
        <v>-11.15103283472493</v>
      </c>
      <c r="AE284" s="43">
        <f t="shared" si="280"/>
        <v>-67.296365787890537</v>
      </c>
      <c r="AF284" t="str">
        <f t="shared" si="262"/>
        <v>171,265703090588</v>
      </c>
      <c r="AG284" t="str">
        <f t="shared" si="263"/>
        <v>1+226,741018267217i</v>
      </c>
      <c r="AH284">
        <f t="shared" si="281"/>
        <v>226.74322341550678</v>
      </c>
      <c r="AI284">
        <f t="shared" si="282"/>
        <v>1.5663860373638854</v>
      </c>
      <c r="AJ284" t="str">
        <f t="shared" si="264"/>
        <v>1+0,5743939594147i</v>
      </c>
      <c r="AK284">
        <f t="shared" si="283"/>
        <v>1.1532252254490865</v>
      </c>
      <c r="AL284">
        <f t="shared" si="284"/>
        <v>0.52137870495367633</v>
      </c>
      <c r="AM284" t="str">
        <f t="shared" si="265"/>
        <v>1-0,036106708941984i</v>
      </c>
      <c r="AN284">
        <f t="shared" si="285"/>
        <v>1.0006516349012882</v>
      </c>
      <c r="AO284">
        <f t="shared" si="286"/>
        <v>-3.6091030498978688E-2</v>
      </c>
      <c r="AP284" s="41" t="str">
        <f t="shared" si="287"/>
        <v>0,40998024300388-0,769193351231662i</v>
      </c>
      <c r="AQ284">
        <f t="shared" si="288"/>
        <v>-1.1933374354953767</v>
      </c>
      <c r="AR284" s="43">
        <f t="shared" si="289"/>
        <v>-61.942373433199009</v>
      </c>
      <c r="AS284" t="str">
        <f t="shared" si="266"/>
        <v>-0,0000166666666666667</v>
      </c>
      <c r="AT284" t="str">
        <f t="shared" si="267"/>
        <v>0,0000437113803114587i</v>
      </c>
      <c r="AU284">
        <f t="shared" si="290"/>
        <v>4.3711380311458699E-5</v>
      </c>
      <c r="AV284">
        <f t="shared" si="291"/>
        <v>1.5707963267948966</v>
      </c>
      <c r="AW284" t="str">
        <f t="shared" si="268"/>
        <v>1+0,13699409150298i</v>
      </c>
      <c r="AX284">
        <f t="shared" si="292"/>
        <v>1.0093400720801324</v>
      </c>
      <c r="AY284">
        <f t="shared" si="293"/>
        <v>0.13614660748712396</v>
      </c>
      <c r="AZ284" t="str">
        <f t="shared" si="269"/>
        <v>1+9,47750033034255i</v>
      </c>
      <c r="BA284">
        <f t="shared" si="294"/>
        <v>9.5301108341741312</v>
      </c>
      <c r="BB284">
        <f t="shared" si="295"/>
        <v>1.4656722374139746</v>
      </c>
      <c r="BC284" s="41" t="str">
        <f t="shared" si="296"/>
        <v>-3,49582442493336+0,86019624949012i</v>
      </c>
      <c r="BD284">
        <f t="shared" si="297"/>
        <v>11.126293293061494</v>
      </c>
      <c r="BE284" s="43">
        <f t="shared" si="298"/>
        <v>166.17620734928076</v>
      </c>
      <c r="BF284" s="41" t="str">
        <f t="shared" si="299"/>
        <v>-0,153923744219415+0,98520413377923i</v>
      </c>
      <c r="BG284" s="20">
        <f t="shared" si="300"/>
        <v>-2.4739541663436414E-2</v>
      </c>
      <c r="BH284" s="43">
        <f t="shared" si="301"/>
        <v>98.879841561390236</v>
      </c>
      <c r="BI284" s="41" t="str">
        <f t="shared" si="255"/>
        <v>-0,771561711370866+3,04162837212897i</v>
      </c>
      <c r="BJ284" s="20">
        <f t="shared" si="302"/>
        <v>9.9329558575661068</v>
      </c>
      <c r="BK284" s="43">
        <f t="shared" si="256"/>
        <v>104.23383391608176</v>
      </c>
      <c r="BL284">
        <f t="shared" si="303"/>
        <v>-2.4739541663436414E-2</v>
      </c>
      <c r="BM284" s="43">
        <f t="shared" si="304"/>
        <v>98.879841561390236</v>
      </c>
    </row>
    <row r="285" spans="14:65" x14ac:dyDescent="0.25">
      <c r="N285" s="9">
        <v>67</v>
      </c>
      <c r="O285" s="34">
        <f t="shared" si="305"/>
        <v>4677.3514128719844</v>
      </c>
      <c r="P285" s="33" t="str">
        <f t="shared" si="257"/>
        <v>54,631621870174</v>
      </c>
      <c r="Q285" s="4" t="str">
        <f t="shared" si="258"/>
        <v>1+234,264409539472i</v>
      </c>
      <c r="R285" s="4">
        <f t="shared" si="270"/>
        <v>234.26654387017678</v>
      </c>
      <c r="S285" s="4">
        <f t="shared" si="271"/>
        <v>1.5665276718671015</v>
      </c>
      <c r="T285" s="4" t="str">
        <f t="shared" si="259"/>
        <v>1+0,587773313477458i</v>
      </c>
      <c r="U285" s="4">
        <f t="shared" si="272"/>
        <v>1.1599471832959767</v>
      </c>
      <c r="V285" s="4">
        <f t="shared" si="273"/>
        <v>0.53138077841421438</v>
      </c>
      <c r="W285" t="str">
        <f t="shared" si="260"/>
        <v>1-0,116947458859254i</v>
      </c>
      <c r="X285" s="4">
        <f t="shared" si="274"/>
        <v>1.0068151310611282</v>
      </c>
      <c r="Y285" s="4">
        <f t="shared" si="275"/>
        <v>-0.11641863954060995</v>
      </c>
      <c r="Z285" t="str">
        <f t="shared" si="261"/>
        <v>0,999912489535042+0,0160676349712296i</v>
      </c>
      <c r="AA285" s="4">
        <f t="shared" si="276"/>
        <v>1.0000415769465458</v>
      </c>
      <c r="AB285" s="4">
        <f t="shared" si="277"/>
        <v>1.6067658310482132E-2</v>
      </c>
      <c r="AC285" s="47" t="str">
        <f t="shared" si="278"/>
        <v>0,106845207192522-0,250500581426279i</v>
      </c>
      <c r="AD285" s="20">
        <f t="shared" si="279"/>
        <v>-11.297925690587876</v>
      </c>
      <c r="AE285" s="43">
        <f t="shared" si="280"/>
        <v>-66.900453881109499</v>
      </c>
      <c r="AF285" t="str">
        <f t="shared" si="262"/>
        <v>171,265703090588</v>
      </c>
      <c r="AG285" t="str">
        <f t="shared" si="263"/>
        <v>1+232,022495055446i</v>
      </c>
      <c r="AH285">
        <f t="shared" si="281"/>
        <v>232.02465000890416</v>
      </c>
      <c r="AI285">
        <f t="shared" si="282"/>
        <v>1.5664864265500662</v>
      </c>
      <c r="AJ285" t="str">
        <f t="shared" si="264"/>
        <v>1+0,587773313477458i</v>
      </c>
      <c r="AK285">
        <f t="shared" si="283"/>
        <v>1.1599471832959767</v>
      </c>
      <c r="AL285">
        <f t="shared" si="284"/>
        <v>0.53138077841421438</v>
      </c>
      <c r="AM285" t="str">
        <f t="shared" si="265"/>
        <v>1-0,036947742234653i</v>
      </c>
      <c r="AN285">
        <f t="shared" si="285"/>
        <v>1.0006823350375673</v>
      </c>
      <c r="AO285">
        <f t="shared" si="286"/>
        <v>-3.6930943098919908E-2</v>
      </c>
      <c r="AP285" s="41" t="str">
        <f t="shared" si="287"/>
        <v>0,409830672713166-0,752406493986913i</v>
      </c>
      <c r="AQ285">
        <f t="shared" si="288"/>
        <v>-1.342585530671125</v>
      </c>
      <c r="AR285" s="43">
        <f t="shared" si="289"/>
        <v>-61.423172161343885</v>
      </c>
      <c r="AS285" t="str">
        <f t="shared" si="266"/>
        <v>-0,0000166666666666667</v>
      </c>
      <c r="AT285" t="str">
        <f t="shared" si="267"/>
        <v>0,0000447295491556346i</v>
      </c>
      <c r="AU285">
        <f t="shared" si="290"/>
        <v>4.4729549155634599E-5</v>
      </c>
      <c r="AV285">
        <f t="shared" si="291"/>
        <v>1.5707963267948966</v>
      </c>
      <c r="AW285" t="str">
        <f t="shared" si="268"/>
        <v>1+0,140185093818868i</v>
      </c>
      <c r="AX285">
        <f t="shared" si="292"/>
        <v>1.0097781244060522</v>
      </c>
      <c r="AY285">
        <f t="shared" si="293"/>
        <v>0.13927747258524406</v>
      </c>
      <c r="AZ285" t="str">
        <f t="shared" si="269"/>
        <v>1+9,69825967237806i</v>
      </c>
      <c r="BA285">
        <f t="shared" si="294"/>
        <v>9.7496790035813259</v>
      </c>
      <c r="BB285">
        <f t="shared" si="295"/>
        <v>1.4680481542270607</v>
      </c>
      <c r="BC285" s="41" t="str">
        <f t="shared" si="296"/>
        <v>-3,49279203232226+0,862247140772602i</v>
      </c>
      <c r="BD285">
        <f t="shared" si="297"/>
        <v>11.120371762541637</v>
      </c>
      <c r="BE285" s="43">
        <f t="shared" si="298"/>
        <v>166.13295199879761</v>
      </c>
      <c r="BF285" s="41" t="str">
        <f t="shared" si="299"/>
        <v>-0,157194678277178+0,967073409304809i</v>
      </c>
      <c r="BG285" s="20">
        <f t="shared" si="300"/>
        <v>-0.17755392804624212</v>
      </c>
      <c r="BH285" s="43">
        <f t="shared" si="301"/>
        <v>99.23249811768811</v>
      </c>
      <c r="BI285" s="41" t="str">
        <f t="shared" si="255"/>
        <v>-0,782692960114864+2,98137473301286i</v>
      </c>
      <c r="BJ285" s="20">
        <f t="shared" si="302"/>
        <v>9.7777862318705253</v>
      </c>
      <c r="BK285" s="43">
        <f t="shared" si="256"/>
        <v>104.70977983745369</v>
      </c>
      <c r="BL285">
        <f t="shared" si="303"/>
        <v>-0.17755392804624212</v>
      </c>
      <c r="BM285" s="43">
        <f t="shared" si="304"/>
        <v>99.23249811768811</v>
      </c>
    </row>
    <row r="286" spans="14:65" x14ac:dyDescent="0.25">
      <c r="N286" s="9">
        <v>68</v>
      </c>
      <c r="O286" s="34">
        <f t="shared" si="305"/>
        <v>4786.3009232263848</v>
      </c>
      <c r="P286" s="33" t="str">
        <f t="shared" si="257"/>
        <v>54,631621870174</v>
      </c>
      <c r="Q286" s="4" t="str">
        <f t="shared" si="258"/>
        <v>1+239,72112862253i</v>
      </c>
      <c r="R286" s="4">
        <f t="shared" si="270"/>
        <v>239.72321437036416</v>
      </c>
      <c r="S286" s="4">
        <f t="shared" si="271"/>
        <v>1.5666248371756983</v>
      </c>
      <c r="T286" s="4" t="str">
        <f t="shared" si="259"/>
        <v>1+0,601464312731122i</v>
      </c>
      <c r="U286" s="4">
        <f t="shared" si="272"/>
        <v>1.1669444371901865</v>
      </c>
      <c r="V286" s="4">
        <f t="shared" si="273"/>
        <v>0.54149550527154611</v>
      </c>
      <c r="W286" t="str">
        <f t="shared" si="260"/>
        <v>1-0,119671515115717i</v>
      </c>
      <c r="X286" s="4">
        <f t="shared" si="274"/>
        <v>1.0071351803656208</v>
      </c>
      <c r="Y286" s="4">
        <f t="shared" si="275"/>
        <v>-0.11910509159625059</v>
      </c>
      <c r="Z286" t="str">
        <f t="shared" si="261"/>
        <v>0,999908365293889+0,0164418982685844i</v>
      </c>
      <c r="AA286" s="4">
        <f t="shared" si="276"/>
        <v>1.0000435365539702</v>
      </c>
      <c r="AB286" s="4">
        <f t="shared" si="277"/>
        <v>1.6441923275742589E-2</v>
      </c>
      <c r="AC286" s="47" t="str">
        <f t="shared" si="278"/>
        <v>0,106787486327872-0,245616162651533i</v>
      </c>
      <c r="AD286" s="20">
        <f t="shared" si="279"/>
        <v>-11.44293922352875</v>
      </c>
      <c r="AE286" s="43">
        <f t="shared" si="280"/>
        <v>-66.501856050935899</v>
      </c>
      <c r="AF286" t="str">
        <f t="shared" si="262"/>
        <v>171,265703090588</v>
      </c>
      <c r="AG286" t="str">
        <f t="shared" si="263"/>
        <v>1+237,426993241734i</v>
      </c>
      <c r="AH286">
        <f t="shared" si="281"/>
        <v>237.42909914290291</v>
      </c>
      <c r="AI286">
        <f t="shared" si="282"/>
        <v>1.5665845306833257</v>
      </c>
      <c r="AJ286" t="str">
        <f t="shared" si="264"/>
        <v>1+0,601464312731122i</v>
      </c>
      <c r="AK286">
        <f t="shared" si="283"/>
        <v>1.1669444371901865</v>
      </c>
      <c r="AL286">
        <f t="shared" si="284"/>
        <v>0.54149550527154611</v>
      </c>
      <c r="AM286" t="str">
        <f t="shared" si="265"/>
        <v>1-0,0378083657093161i</v>
      </c>
      <c r="AN286">
        <f t="shared" si="285"/>
        <v>1.0007144810172426</v>
      </c>
      <c r="AO286">
        <f t="shared" si="286"/>
        <v>-3.7790365805111123E-2</v>
      </c>
      <c r="AP286" s="41" t="str">
        <f t="shared" si="287"/>
        <v>0,409687833949987-0,736018514583303i</v>
      </c>
      <c r="AQ286">
        <f t="shared" si="288"/>
        <v>-1.4900636096309263</v>
      </c>
      <c r="AR286" s="43">
        <f t="shared" si="289"/>
        <v>-60.898503248162044</v>
      </c>
      <c r="AS286" t="str">
        <f t="shared" si="266"/>
        <v>-0,0000166666666666667</v>
      </c>
      <c r="AT286" t="str">
        <f t="shared" si="267"/>
        <v>0,0000457714341988384i</v>
      </c>
      <c r="AU286">
        <f t="shared" si="290"/>
        <v>4.5771434198838403E-5</v>
      </c>
      <c r="AV286">
        <f t="shared" si="291"/>
        <v>1.5707963267948966</v>
      </c>
      <c r="AW286" t="str">
        <f t="shared" si="268"/>
        <v>1+0,143450424127068i</v>
      </c>
      <c r="AX286">
        <f t="shared" si="292"/>
        <v>1.0102366179179192</v>
      </c>
      <c r="AY286">
        <f t="shared" si="293"/>
        <v>0.14247842189518126</v>
      </c>
      <c r="AZ286" t="str">
        <f t="shared" si="269"/>
        <v>1+9,92416116006351i</v>
      </c>
      <c r="BA286">
        <f t="shared" si="294"/>
        <v>9.9744160095172063</v>
      </c>
      <c r="BB286">
        <f t="shared" si="295"/>
        <v>1.4703711139865581</v>
      </c>
      <c r="BC286" s="41" t="str">
        <f t="shared" si="296"/>
        <v>-3,48962236086944+0,864715936058895i</v>
      </c>
      <c r="BD286">
        <f t="shared" si="297"/>
        <v>11.114372004210153</v>
      </c>
      <c r="BE286" s="43">
        <f t="shared" si="298"/>
        <v>166.08264690310085</v>
      </c>
      <c r="BF286" s="41" t="str">
        <f t="shared" si="299"/>
        <v>-0,160259790152368+0,949448494579117i</v>
      </c>
      <c r="BG286" s="20">
        <f t="shared" si="300"/>
        <v>-0.32856721931859728</v>
      </c>
      <c r="BH286" s="43">
        <f t="shared" si="301"/>
        <v>99.580790852164995</v>
      </c>
      <c r="BI286" s="41" t="str">
        <f t="shared" si="255"/>
        <v>-0,793208887533462+2,92269026532981i</v>
      </c>
      <c r="BJ286" s="20">
        <f t="shared" si="302"/>
        <v>9.6243083945792325</v>
      </c>
      <c r="BK286" s="43">
        <f t="shared" si="256"/>
        <v>105.18414365493879</v>
      </c>
      <c r="BL286">
        <f t="shared" si="303"/>
        <v>-0.32856721931859728</v>
      </c>
      <c r="BM286" s="43">
        <f t="shared" si="304"/>
        <v>99.580790852164995</v>
      </c>
    </row>
    <row r="287" spans="14:65" x14ac:dyDescent="0.25">
      <c r="N287" s="9">
        <v>69</v>
      </c>
      <c r="O287" s="34">
        <f t="shared" si="305"/>
        <v>4897.7881936844633</v>
      </c>
      <c r="P287" s="33" t="str">
        <f t="shared" si="257"/>
        <v>54,631621870174</v>
      </c>
      <c r="Q287" s="4" t="str">
        <f t="shared" si="258"/>
        <v>1+245,304951021069i</v>
      </c>
      <c r="R287" s="4">
        <f t="shared" si="270"/>
        <v>245.30698929188515</v>
      </c>
      <c r="S287" s="4">
        <f t="shared" si="271"/>
        <v>1.5667197908079564</v>
      </c>
      <c r="T287" s="4" t="str">
        <f t="shared" si="259"/>
        <v>1+0,615474216324718i</v>
      </c>
      <c r="U287" s="4">
        <f t="shared" si="272"/>
        <v>1.1742267715226584</v>
      </c>
      <c r="V287" s="4">
        <f t="shared" si="273"/>
        <v>0.55171996945247614</v>
      </c>
      <c r="W287" t="str">
        <f t="shared" si="260"/>
        <v>1-0,122459022793534i</v>
      </c>
      <c r="X287" s="4">
        <f t="shared" si="274"/>
        <v>1.0074702041567023</v>
      </c>
      <c r="Y287" s="4">
        <f t="shared" si="275"/>
        <v>-0.12185233184882893</v>
      </c>
      <c r="Z287" t="str">
        <f t="shared" si="261"/>
        <v>0,999904046683239+0,0168248792780355i</v>
      </c>
      <c r="AA287" s="4">
        <f t="shared" si="276"/>
        <v>1.0000455885289616</v>
      </c>
      <c r="AB287" s="4">
        <f t="shared" si="277"/>
        <v>1.6824906072227998E-2</v>
      </c>
      <c r="AC287" s="47" t="str">
        <f t="shared" si="278"/>
        <v>0,10673116508133-0,240861942924847i</v>
      </c>
      <c r="AD287" s="20">
        <f t="shared" si="279"/>
        <v>-11.586028767873167</v>
      </c>
      <c r="AE287" s="43">
        <f t="shared" si="280"/>
        <v>-66.100826417609667</v>
      </c>
      <c r="AF287" t="str">
        <f t="shared" si="262"/>
        <v>171,265703090588</v>
      </c>
      <c r="AG287" t="str">
        <f t="shared" si="263"/>
        <v>1+242,957378362557i</v>
      </c>
      <c r="AH287">
        <f t="shared" si="281"/>
        <v>242.95943632797366</v>
      </c>
      <c r="AI287">
        <f t="shared" si="282"/>
        <v>1.5666804017722158</v>
      </c>
      <c r="AJ287" t="str">
        <f t="shared" si="264"/>
        <v>1+0,615474216324718i</v>
      </c>
      <c r="AK287">
        <f t="shared" si="283"/>
        <v>1.1742267715226584</v>
      </c>
      <c r="AL287">
        <f t="shared" si="284"/>
        <v>0.55171996945247614</v>
      </c>
      <c r="AM287" t="str">
        <f t="shared" si="265"/>
        <v>1-0,0386890356799312i</v>
      </c>
      <c r="AN287">
        <f t="shared" si="285"/>
        <v>1.0007481408835308</v>
      </c>
      <c r="AO287">
        <f t="shared" si="286"/>
        <v>-3.8669749213740529E-2</v>
      </c>
      <c r="AP287" s="41" t="str">
        <f t="shared" si="287"/>
        <v>0,409551423767203-0,720020727771108i</v>
      </c>
      <c r="AQ287">
        <f t="shared" si="288"/>
        <v>-1.635731996342743</v>
      </c>
      <c r="AR287" s="43">
        <f t="shared" si="289"/>
        <v>-60.368562569471166</v>
      </c>
      <c r="AS287" t="str">
        <f t="shared" si="266"/>
        <v>-0,0000166666666666667</v>
      </c>
      <c r="AT287" t="str">
        <f t="shared" si="267"/>
        <v>0,000046837587862311i</v>
      </c>
      <c r="AU287">
        <f t="shared" si="290"/>
        <v>4.6837587862311001E-5</v>
      </c>
      <c r="AV287">
        <f t="shared" si="291"/>
        <v>1.5707963267948966</v>
      </c>
      <c r="AW287" t="str">
        <f t="shared" si="268"/>
        <v>1+0,146791813748931i</v>
      </c>
      <c r="AX287">
        <f t="shared" si="292"/>
        <v>1.0107164966417144</v>
      </c>
      <c r="AY287">
        <f t="shared" si="293"/>
        <v>0.14575089008797465</v>
      </c>
      <c r="AZ287" t="str">
        <f t="shared" si="269"/>
        <v>1+10,1553245693578i</v>
      </c>
      <c r="BA287">
        <f t="shared" si="294"/>
        <v>10.204441048337836</v>
      </c>
      <c r="BB287">
        <f t="shared" si="295"/>
        <v>1.472642248021409</v>
      </c>
      <c r="BC287" s="41" t="str">
        <f t="shared" si="296"/>
        <v>-3,48630946751211+0,867601250245667i</v>
      </c>
      <c r="BD287">
        <f t="shared" si="297"/>
        <v>11.10828191412555</v>
      </c>
      <c r="BE287" s="43">
        <f t="shared" si="298"/>
        <v>166.02527468196845</v>
      </c>
      <c r="BF287" s="41" t="str">
        <f t="shared" si="299"/>
        <v>-0,163125748483441+0,932319364246994i</v>
      </c>
      <c r="BG287" s="20">
        <f t="shared" si="300"/>
        <v>-0.47774685374761738</v>
      </c>
      <c r="BH287" s="43">
        <f t="shared" si="301"/>
        <v>99.924448264358787</v>
      </c>
      <c r="BI287" s="41" t="str">
        <f t="shared" si="255"/>
        <v>-0,803132122495656+2,86554240733369i</v>
      </c>
      <c r="BJ287" s="20">
        <f t="shared" si="302"/>
        <v>9.4725499177828016</v>
      </c>
      <c r="BK287" s="43">
        <f t="shared" si="256"/>
        <v>105.6567121124973</v>
      </c>
      <c r="BL287">
        <f t="shared" si="303"/>
        <v>-0.47774685374761738</v>
      </c>
      <c r="BM287" s="43">
        <f t="shared" si="304"/>
        <v>99.924448264358787</v>
      </c>
    </row>
    <row r="288" spans="14:65" x14ac:dyDescent="0.25">
      <c r="N288" s="9">
        <v>70</v>
      </c>
      <c r="O288" s="34">
        <f t="shared" si="305"/>
        <v>5011.8723362727324</v>
      </c>
      <c r="P288" s="33" t="str">
        <f t="shared" si="257"/>
        <v>54,631621870174</v>
      </c>
      <c r="Q288" s="4" t="str">
        <f t="shared" si="258"/>
        <v>1+251,018837351634i</v>
      </c>
      <c r="R288" s="4">
        <f t="shared" si="270"/>
        <v>251.02082922611439</v>
      </c>
      <c r="S288" s="4">
        <f t="shared" si="271"/>
        <v>1.5668125831026958</v>
      </c>
      <c r="T288" s="4" t="str">
        <f t="shared" si="259"/>
        <v>1+0,629810452494574i</v>
      </c>
      <c r="U288" s="4">
        <f t="shared" si="272"/>
        <v>1.1818042164721787</v>
      </c>
      <c r="V288" s="4">
        <f t="shared" si="273"/>
        <v>0.56205104076505696</v>
      </c>
      <c r="W288" t="str">
        <f t="shared" si="260"/>
        <v>1-0,125311459866172i</v>
      </c>
      <c r="X288" s="4">
        <f t="shared" si="274"/>
        <v>1.0078208977659628</v>
      </c>
      <c r="Y288" s="4">
        <f t="shared" si="275"/>
        <v>-0.12466165095785153</v>
      </c>
      <c r="Z288" t="str">
        <f t="shared" si="261"/>
        <v>0,99989952454274+0,0172167810611834i</v>
      </c>
      <c r="AA288" s="4">
        <f t="shared" si="276"/>
        <v>1.0000477372260317</v>
      </c>
      <c r="AB288" s="4">
        <f t="shared" si="277"/>
        <v>1.7216809770039483E-2</v>
      </c>
      <c r="AC288" s="47" t="str">
        <f t="shared" si="278"/>
        <v>0,106676124012145-0,236235401680253i</v>
      </c>
      <c r="AD288" s="20">
        <f t="shared" si="279"/>
        <v>-11.727150060815246</v>
      </c>
      <c r="AE288" s="43">
        <f t="shared" si="280"/>
        <v>-65.697632796522512</v>
      </c>
      <c r="AF288" t="str">
        <f t="shared" si="262"/>
        <v>171,265703090588</v>
      </c>
      <c r="AG288" t="str">
        <f t="shared" si="263"/>
        <v>1+248,616582701308i</v>
      </c>
      <c r="AH288">
        <f t="shared" si="281"/>
        <v>248.61859382209596</v>
      </c>
      <c r="AI288">
        <f t="shared" si="282"/>
        <v>1.5667740906418037</v>
      </c>
      <c r="AJ288" t="str">
        <f t="shared" si="264"/>
        <v>1+0,629810452494574i</v>
      </c>
      <c r="AK288">
        <f t="shared" si="283"/>
        <v>1.1818042164721787</v>
      </c>
      <c r="AL288">
        <f t="shared" si="284"/>
        <v>0.56205104076505696</v>
      </c>
      <c r="AM288" t="str">
        <f t="shared" si="265"/>
        <v>1-0,0395902190893737i</v>
      </c>
      <c r="AN288">
        <f t="shared" si="285"/>
        <v>1.0007833858770561</v>
      </c>
      <c r="AO288">
        <f t="shared" si="286"/>
        <v>-3.95695541421026E-2</v>
      </c>
      <c r="AP288" s="41" t="str">
        <f t="shared" si="287"/>
        <v>0,409421152850657-0,704404654927324i</v>
      </c>
      <c r="AQ288">
        <f t="shared" si="288"/>
        <v>-1.7795516375763141</v>
      </c>
      <c r="AR288" s="43">
        <f t="shared" si="289"/>
        <v>-59.833558787006552</v>
      </c>
      <c r="AS288" t="str">
        <f t="shared" si="266"/>
        <v>-0,0000166666666666667</v>
      </c>
      <c r="AT288" t="str">
        <f t="shared" si="267"/>
        <v>0,000047928575434837i</v>
      </c>
      <c r="AU288">
        <f t="shared" si="290"/>
        <v>4.7928575434837E-5</v>
      </c>
      <c r="AV288">
        <f t="shared" si="291"/>
        <v>1.5707963267948966</v>
      </c>
      <c r="AW288" t="str">
        <f t="shared" si="268"/>
        <v>1+0,150211034333463i</v>
      </c>
      <c r="AX288">
        <f t="shared" si="292"/>
        <v>1.0112187472725813</v>
      </c>
      <c r="AY288">
        <f t="shared" si="293"/>
        <v>0.14909633176338025</v>
      </c>
      <c r="AZ288" t="str">
        <f t="shared" si="269"/>
        <v>1+10,3918724661605i</v>
      </c>
      <c r="BA288">
        <f t="shared" si="294"/>
        <v>10.439876117701049</v>
      </c>
      <c r="BB288">
        <f t="shared" si="295"/>
        <v>1.4748626667485409</v>
      </c>
      <c r="BC288" s="41" t="str">
        <f t="shared" si="296"/>
        <v>-3,48284717749457+0,870901739891878i</v>
      </c>
      <c r="BD288">
        <f t="shared" si="297"/>
        <v>11.102089230930607</v>
      </c>
      <c r="BE288" s="43">
        <f t="shared" si="298"/>
        <v>165.96081561517701</v>
      </c>
      <c r="BF288" s="41" t="str">
        <f t="shared" si="299"/>
        <v>-0,165798815074371+0,915676223973464i</v>
      </c>
      <c r="BG288" s="20">
        <f t="shared" si="300"/>
        <v>-0.6250608298846384</v>
      </c>
      <c r="BH288" s="43">
        <f t="shared" si="301"/>
        <v>100.2631828186545</v>
      </c>
      <c r="BI288" s="41" t="str">
        <f t="shared" si="255"/>
        <v>-0,812484067048339+2,80989935859384i</v>
      </c>
      <c r="BJ288" s="20">
        <f t="shared" si="302"/>
        <v>9.3225375933542871</v>
      </c>
      <c r="BK288" s="43">
        <f t="shared" si="256"/>
        <v>106.12725682817046</v>
      </c>
      <c r="BL288">
        <f t="shared" si="303"/>
        <v>-0.6250608298846384</v>
      </c>
      <c r="BM288" s="43">
        <f t="shared" si="304"/>
        <v>100.2631828186545</v>
      </c>
    </row>
    <row r="289" spans="14:65" x14ac:dyDescent="0.25">
      <c r="N289" s="9">
        <v>71</v>
      </c>
      <c r="O289" s="34">
        <f t="shared" si="305"/>
        <v>5128.6138399136489</v>
      </c>
      <c r="P289" s="33" t="str">
        <f t="shared" si="257"/>
        <v>54,631621870174</v>
      </c>
      <c r="Q289" s="4" t="str">
        <f t="shared" si="258"/>
        <v>1+256,865817192388i</v>
      </c>
      <c r="R289" s="4">
        <f t="shared" si="270"/>
        <v>256.86776372661734</v>
      </c>
      <c r="S289" s="4">
        <f t="shared" si="271"/>
        <v>1.5669032632532238</v>
      </c>
      <c r="T289" s="4" t="str">
        <f t="shared" si="259"/>
        <v>1+0,644480622502866i</v>
      </c>
      <c r="U289" s="4">
        <f t="shared" si="272"/>
        <v>1.1896870482533133</v>
      </c>
      <c r="V289" s="4">
        <f t="shared" si="273"/>
        <v>0.57248537535380384</v>
      </c>
      <c r="W289" t="str">
        <f t="shared" si="260"/>
        <v>1-0,128230338733525i</v>
      </c>
      <c r="X289" s="4">
        <f t="shared" si="274"/>
        <v>1.0081879883095783</v>
      </c>
      <c r="Y289" s="4">
        <f t="shared" si="275"/>
        <v>-0.12753436099127441</v>
      </c>
      <c r="Z289" t="str">
        <f t="shared" si="261"/>
        <v>0,999894789280324+0,017617811409541i</v>
      </c>
      <c r="AA289" s="4">
        <f t="shared" si="276"/>
        <v>1.0000499872050426</v>
      </c>
      <c r="AB289" s="4">
        <f t="shared" si="277"/>
        <v>1.7617842169796193E-2</v>
      </c>
      <c r="AC289" s="47" t="str">
        <f t="shared" si="278"/>
        <v>0,106622246395616-0,231734085906813i</v>
      </c>
      <c r="AD289" s="20">
        <f t="shared" si="279"/>
        <v>-11.866259343436116</v>
      </c>
      <c r="AE289" s="43">
        <f t="shared" si="280"/>
        <v>-65.292556677105054</v>
      </c>
      <c r="AF289" t="str">
        <f t="shared" si="262"/>
        <v>171,265703090588</v>
      </c>
      <c r="AG289" t="str">
        <f t="shared" si="263"/>
        <v>1+254,407606843036i</v>
      </c>
      <c r="AH289">
        <f t="shared" si="281"/>
        <v>254.40957218548357</v>
      </c>
      <c r="AI289">
        <f t="shared" si="282"/>
        <v>1.5668656469605851</v>
      </c>
      <c r="AJ289" t="str">
        <f t="shared" si="264"/>
        <v>1+0,644480622502866i</v>
      </c>
      <c r="AK289">
        <f t="shared" si="283"/>
        <v>1.1896870482533133</v>
      </c>
      <c r="AL289">
        <f t="shared" si="284"/>
        <v>0.57248537535380384</v>
      </c>
      <c r="AM289" t="str">
        <f t="shared" si="265"/>
        <v>1-0,0405123937570157i</v>
      </c>
      <c r="AN289">
        <f t="shared" si="285"/>
        <v>1.0008202905856394</v>
      </c>
      <c r="AO289">
        <f t="shared" si="286"/>
        <v>-4.0490251847147184E-2</v>
      </c>
      <c r="AP289" s="41" t="str">
        <f t="shared" si="287"/>
        <v>0,409296744905734-0,689162019577445i</v>
      </c>
      <c r="AQ289">
        <f t="shared" si="288"/>
        <v>-1.9214842128672607</v>
      </c>
      <c r="AR289" s="43">
        <f t="shared" si="289"/>
        <v>-59.293713336404487</v>
      </c>
      <c r="AS289" t="str">
        <f t="shared" si="266"/>
        <v>-0,0000166666666666667</v>
      </c>
      <c r="AT289" t="str">
        <f t="shared" si="267"/>
        <v>0,0000490449753724681i</v>
      </c>
      <c r="AU289">
        <f t="shared" si="290"/>
        <v>4.9044975372468102E-5</v>
      </c>
      <c r="AV289">
        <f t="shared" si="291"/>
        <v>1.5707963267948966</v>
      </c>
      <c r="AW289" t="str">
        <f t="shared" si="268"/>
        <v>1+0,153709898796676i</v>
      </c>
      <c r="AX289">
        <f t="shared" si="292"/>
        <v>1.0117444010164249</v>
      </c>
      <c r="AY289">
        <f t="shared" si="293"/>
        <v>0.15251622102661722</v>
      </c>
      <c r="AZ289" t="str">
        <f t="shared" si="269"/>
        <v>1+10,6339302712973i</v>
      </c>
      <c r="BA289">
        <f t="shared" si="294"/>
        <v>10.680846081411952</v>
      </c>
      <c r="BB289">
        <f t="shared" si="295"/>
        <v>1.4770334598372774</v>
      </c>
      <c r="BC289" s="41" t="str">
        <f t="shared" si="296"/>
        <v>-3,47922907777336+0,874616091257742i</v>
      </c>
      <c r="BD289">
        <f t="shared" si="297"/>
        <v>11.095781515076165</v>
      </c>
      <c r="BE289" s="43">
        <f t="shared" si="298"/>
        <v>165.8892476761722</v>
      </c>
      <c r="BF289" s="41" t="str">
        <f t="shared" si="299"/>
        <v>-0,16828485957014+0,899509502381867i</v>
      </c>
      <c r="BG289" s="20">
        <f t="shared" si="300"/>
        <v>-0.77047782835995104</v>
      </c>
      <c r="BH289" s="43">
        <f t="shared" si="301"/>
        <v>100.59669099906711</v>
      </c>
      <c r="BI289" s="41" t="str">
        <f t="shared" si="255"/>
        <v>-0,821284944507898+2,75573005700483i</v>
      </c>
      <c r="BJ289" s="20">
        <f t="shared" si="302"/>
        <v>9.1742973022089025</v>
      </c>
      <c r="BK289" s="43">
        <f t="shared" si="256"/>
        <v>106.5955343397677</v>
      </c>
      <c r="BL289">
        <f t="shared" si="303"/>
        <v>-0.77047782835995104</v>
      </c>
      <c r="BM289" s="43">
        <f t="shared" si="304"/>
        <v>100.59669099906711</v>
      </c>
    </row>
    <row r="290" spans="14:65" x14ac:dyDescent="0.25">
      <c r="N290" s="9">
        <v>72</v>
      </c>
      <c r="O290" s="34">
        <f t="shared" si="305"/>
        <v>5248.0746024977261</v>
      </c>
      <c r="P290" s="33" t="str">
        <f t="shared" si="257"/>
        <v>54,631621870174</v>
      </c>
      <c r="Q290" s="4" t="str">
        <f t="shared" si="258"/>
        <v>1+262,848990689441i</v>
      </c>
      <c r="R290" s="4">
        <f t="shared" si="270"/>
        <v>262.85089291546609</v>
      </c>
      <c r="S290" s="4">
        <f t="shared" si="271"/>
        <v>1.5669918793333881</v>
      </c>
      <c r="T290" s="4" t="str">
        <f t="shared" si="259"/>
        <v>1+0,659492504667922i</v>
      </c>
      <c r="U290" s="4">
        <f t="shared" si="272"/>
        <v>1.1978857890939223</v>
      </c>
      <c r="V290" s="4">
        <f t="shared" si="273"/>
        <v>0.5830194170350963</v>
      </c>
      <c r="W290" t="str">
        <f t="shared" si="260"/>
        <v>1-0,131217207023803i</v>
      </c>
      <c r="X290" s="4">
        <f t="shared" si="274"/>
        <v>1.0085722360937404</v>
      </c>
      <c r="Y290" s="4">
        <f t="shared" si="275"/>
        <v>-0.13047179534139122</v>
      </c>
      <c r="Z290" t="str">
        <f t="shared" si="261"/>
        <v>0,999889830851866+0,0180281829547072i</v>
      </c>
      <c r="AA290" s="4">
        <f t="shared" si="276"/>
        <v>1.0000523432409034</v>
      </c>
      <c r="AB290" s="4">
        <f t="shared" si="277"/>
        <v>1.8028215912851836E-2</v>
      </c>
      <c r="AC290" s="47" t="str">
        <f t="shared" si="278"/>
        <v>0,10656941797572-0,227355608848193i</v>
      </c>
      <c r="AD290" s="20">
        <f t="shared" si="279"/>
        <v>-12.003313463121355</v>
      </c>
      <c r="AE290" s="43">
        <f t="shared" si="280"/>
        <v>-64.885893149301083</v>
      </c>
      <c r="AF290" t="str">
        <f t="shared" si="262"/>
        <v>171,265703090588</v>
      </c>
      <c r="AG290" t="str">
        <f t="shared" si="263"/>
        <v>1+260,333521265397i</v>
      </c>
      <c r="AH290">
        <f t="shared" si="281"/>
        <v>260.33544187152256</v>
      </c>
      <c r="AI290">
        <f t="shared" si="282"/>
        <v>1.566955119266789</v>
      </c>
      <c r="AJ290" t="str">
        <f t="shared" si="264"/>
        <v>1+0,659492504667922i</v>
      </c>
      <c r="AK290">
        <f t="shared" si="283"/>
        <v>1.1978857890939223</v>
      </c>
      <c r="AL290">
        <f t="shared" si="284"/>
        <v>0.5830194170350963</v>
      </c>
      <c r="AM290" t="str">
        <f t="shared" si="265"/>
        <v>1-0,0414560486320728i</v>
      </c>
      <c r="AN290">
        <f t="shared" si="285"/>
        <v>1.0008589331010562</v>
      </c>
      <c r="AO290">
        <f t="shared" si="286"/>
        <v>-4.1432324247736581E-2</v>
      </c>
      <c r="AP290" s="41" t="str">
        <f t="shared" si="287"/>
        <v>0,409177936071566-0,674284743023279i</v>
      </c>
      <c r="AQ290">
        <f t="shared" si="288"/>
        <v>-2.0614922461713596</v>
      </c>
      <c r="AR290" s="43">
        <f t="shared" si="289"/>
        <v>-58.749260364929796</v>
      </c>
      <c r="AS290" t="str">
        <f t="shared" si="266"/>
        <v>-0,0000166666666666667</v>
      </c>
      <c r="AT290" t="str">
        <f t="shared" si="267"/>
        <v>0,0000501873796052288i</v>
      </c>
      <c r="AU290">
        <f t="shared" si="290"/>
        <v>5.0187379605228801E-5</v>
      </c>
      <c r="AV290">
        <f t="shared" si="291"/>
        <v>1.5707963267948966</v>
      </c>
      <c r="AW290" t="str">
        <f t="shared" si="268"/>
        <v>1+0,157290262282822i</v>
      </c>
      <c r="AX290">
        <f t="shared" si="292"/>
        <v>1.0122945355028836</v>
      </c>
      <c r="AY290">
        <f t="shared" si="293"/>
        <v>0.1560120510007193</v>
      </c>
      <c r="AZ290" t="str">
        <f t="shared" si="269"/>
        <v>1+10,8816263270207i</v>
      </c>
      <c r="BA290">
        <f t="shared" si="294"/>
        <v>10.927478735779356</v>
      </c>
      <c r="BB290">
        <f t="shared" si="295"/>
        <v>1.479155696389598</v>
      </c>
      <c r="BC290" s="41" t="str">
        <f t="shared" si="296"/>
        <v>-3,47544851048107+0,878743007732565i</v>
      </c>
      <c r="BD290">
        <f t="shared" si="297"/>
        <v>11.089346127963044</v>
      </c>
      <c r="BE290" s="43">
        <f t="shared" si="298"/>
        <v>165.81054657033715</v>
      </c>
      <c r="BF290" s="41" t="str">
        <f t="shared" si="299"/>
        <v>-0,170589373422421+0,883809843005262i</v>
      </c>
      <c r="BG290" s="20">
        <f t="shared" si="300"/>
        <v>-0.9139673351583113</v>
      </c>
      <c r="BH290" s="43">
        <f t="shared" si="301"/>
        <v>100.92465342103608</v>
      </c>
      <c r="BI290" s="41" t="str">
        <f t="shared" si="255"/>
        <v>-0,829553845289187+2,7030041560217i</v>
      </c>
      <c r="BJ290" s="20">
        <f t="shared" si="302"/>
        <v>9.027853881791696</v>
      </c>
      <c r="BK290" s="43">
        <f t="shared" si="256"/>
        <v>107.06128620540734</v>
      </c>
      <c r="BL290">
        <f t="shared" si="303"/>
        <v>-0.9139673351583113</v>
      </c>
      <c r="BM290" s="43">
        <f t="shared" si="304"/>
        <v>100.92465342103608</v>
      </c>
    </row>
    <row r="291" spans="14:65" x14ac:dyDescent="0.25">
      <c r="N291" s="9">
        <v>73</v>
      </c>
      <c r="O291" s="34">
        <f t="shared" si="305"/>
        <v>5370.3179637025269</v>
      </c>
      <c r="P291" s="33" t="str">
        <f t="shared" si="257"/>
        <v>54,631621870174</v>
      </c>
      <c r="Q291" s="4" t="str">
        <f t="shared" si="258"/>
        <v>1+268,971530200574i</v>
      </c>
      <c r="R291" s="4">
        <f t="shared" si="270"/>
        <v>268.97338912695119</v>
      </c>
      <c r="S291" s="4">
        <f t="shared" si="271"/>
        <v>1.5670784783230367</v>
      </c>
      <c r="T291" s="4" t="str">
        <f t="shared" si="259"/>
        <v>1+0,674854058488366i</v>
      </c>
      <c r="U291" s="4">
        <f t="shared" si="272"/>
        <v>1.2064112069515183</v>
      </c>
      <c r="V291" s="4">
        <f t="shared" si="273"/>
        <v>0.59364939954820162</v>
      </c>
      <c r="W291" t="str">
        <f t="shared" si="260"/>
        <v>1-0,134273648414111i</v>
      </c>
      <c r="X291" s="4">
        <f t="shared" si="274"/>
        <v>1.0089744360777613</v>
      </c>
      <c r="Y291" s="4">
        <f t="shared" si="275"/>
        <v>-0.13347530860134224</v>
      </c>
      <c r="Z291" t="str">
        <f t="shared" si="261"/>
        <v>0,999884638739875+0,0184481132811072i</v>
      </c>
      <c r="AA291" s="4">
        <f t="shared" si="276"/>
        <v>1.0000548103337152</v>
      </c>
      <c r="AB291" s="4">
        <f t="shared" si="277"/>
        <v>1.8448148594081119E-2</v>
      </c>
      <c r="AC291" s="47" t="str">
        <f t="shared" si="278"/>
        <v>0,106517526722972-0,223097648736717i</v>
      </c>
      <c r="AD291" s="20">
        <f t="shared" si="279"/>
        <v>-12.138269976777377</v>
      </c>
      <c r="AE291" s="43">
        <f t="shared" si="280"/>
        <v>-64.477950775440007</v>
      </c>
      <c r="AF291" t="str">
        <f t="shared" si="262"/>
        <v>171,265703090588</v>
      </c>
      <c r="AG291" t="str">
        <f t="shared" si="263"/>
        <v>1+266,397467966653i</v>
      </c>
      <c r="AH291">
        <f t="shared" si="281"/>
        <v>266.39934485475726</v>
      </c>
      <c r="AI291">
        <f t="shared" si="282"/>
        <v>1.5670425549940832</v>
      </c>
      <c r="AJ291" t="str">
        <f t="shared" si="264"/>
        <v>1+0,674854058488366i</v>
      </c>
      <c r="AK291">
        <f t="shared" si="283"/>
        <v>1.2064112069515183</v>
      </c>
      <c r="AL291">
        <f t="shared" si="284"/>
        <v>0.59364939954820162</v>
      </c>
      <c r="AM291" t="str">
        <f t="shared" si="265"/>
        <v>1-0,0424216840528502i</v>
      </c>
      <c r="AN291">
        <f t="shared" si="285"/>
        <v>1.0008993951830922</v>
      </c>
      <c r="AO291">
        <f t="shared" si="286"/>
        <v>-4.2396264150596982E-2</v>
      </c>
      <c r="AP291" s="41" t="str">
        <f t="shared" si="287"/>
        <v>0,409064474361538-0,659764940074553i</v>
      </c>
      <c r="AQ291">
        <f t="shared" si="288"/>
        <v>-2.1995392186128901</v>
      </c>
      <c r="AR291" s="43">
        <f t="shared" si="289"/>
        <v>-58.200446616921568</v>
      </c>
      <c r="AS291" t="str">
        <f t="shared" si="266"/>
        <v>-0,0000166666666666667</v>
      </c>
      <c r="AT291" t="str">
        <f t="shared" si="267"/>
        <v>0,0000513563938509647i</v>
      </c>
      <c r="AU291">
        <f t="shared" si="290"/>
        <v>5.1356393850964701E-5</v>
      </c>
      <c r="AV291">
        <f t="shared" si="291"/>
        <v>1.5707963267948966</v>
      </c>
      <c r="AW291" t="str">
        <f t="shared" si="268"/>
        <v>1+0,160954023148014i</v>
      </c>
      <c r="AX291">
        <f t="shared" si="292"/>
        <v>1.012870276771676</v>
      </c>
      <c r="AY291">
        <f t="shared" si="293"/>
        <v>0.15958533327009111</v>
      </c>
      <c r="AZ291" t="str">
        <f t="shared" si="269"/>
        <v>1+11,135091965058i</v>
      </c>
      <c r="BA291">
        <f t="shared" si="294"/>
        <v>11.179904877515694</v>
      </c>
      <c r="BB291">
        <f t="shared" si="295"/>
        <v>1.4812304251346806</v>
      </c>
      <c r="BC291" s="41" t="str">
        <f t="shared" si="296"/>
        <v>-3,47149856647964+0,883281196619282i</v>
      </c>
      <c r="BD291">
        <f t="shared" si="297"/>
        <v>11.082770210995873</v>
      </c>
      <c r="BE291" s="43">
        <f t="shared" si="298"/>
        <v>165.72468577802093</v>
      </c>
      <c r="BF291" s="41" t="str">
        <f t="shared" si="299"/>
        <v>-0,172717483184638+0,868568096239284i</v>
      </c>
      <c r="BG291" s="20">
        <f t="shared" si="300"/>
        <v>-1.0554997657815073</v>
      </c>
      <c r="BH291" s="43">
        <f t="shared" si="301"/>
        <v>101.24673500258089</v>
      </c>
      <c r="BI291" s="41" t="str">
        <f t="shared" si="255"/>
        <v>-0,837308770587327+2,65169200209083i</v>
      </c>
      <c r="BJ291" s="20">
        <f t="shared" si="302"/>
        <v>8.8832309923829751</v>
      </c>
      <c r="BK291" s="43">
        <f t="shared" si="256"/>
        <v>107.52423916109939</v>
      </c>
      <c r="BL291">
        <f t="shared" si="303"/>
        <v>-1.0554997657815073</v>
      </c>
      <c r="BM291" s="43">
        <f t="shared" si="304"/>
        <v>101.24673500258089</v>
      </c>
    </row>
    <row r="292" spans="14:65" x14ac:dyDescent="0.25">
      <c r="N292" s="9">
        <v>74</v>
      </c>
      <c r="O292" s="34">
        <f t="shared" si="305"/>
        <v>5495.4087385762541</v>
      </c>
      <c r="P292" s="33" t="str">
        <f t="shared" si="257"/>
        <v>54,631621870174</v>
      </c>
      <c r="Q292" s="4" t="str">
        <f t="shared" si="258"/>
        <v>1+275,236681977278i</v>
      </c>
      <c r="R292" s="4">
        <f t="shared" si="270"/>
        <v>275.23849858960733</v>
      </c>
      <c r="S292" s="4">
        <f t="shared" si="271"/>
        <v>1.5671631061329021</v>
      </c>
      <c r="T292" s="4" t="str">
        <f t="shared" si="259"/>
        <v>1+0,690573428863372i</v>
      </c>
      <c r="U292" s="4">
        <f t="shared" si="272"/>
        <v>1.2152743149808256</v>
      </c>
      <c r="V292" s="4">
        <f t="shared" si="273"/>
        <v>0.60437134975166118</v>
      </c>
      <c r="W292" t="str">
        <f t="shared" si="260"/>
        <v>1-0,137401283470129i</v>
      </c>
      <c r="X292" s="4">
        <f t="shared" si="274"/>
        <v>1.0093954193967984</v>
      </c>
      <c r="Y292" s="4">
        <f t="shared" si="275"/>
        <v>-0.13654627639911573</v>
      </c>
      <c r="Z292" t="str">
        <f t="shared" si="261"/>
        <v>0,999879201931184+0,0188778250413585i</v>
      </c>
      <c r="AA292" s="4">
        <f t="shared" si="276"/>
        <v>1.0000573937193973</v>
      </c>
      <c r="AB292" s="4">
        <f t="shared" si="277"/>
        <v>1.8877862877295107E-2</v>
      </c>
      <c r="AC292" s="47" t="str">
        <f t="shared" si="278"/>
        <v>0,106466462597024-0,218957947561173i</v>
      </c>
      <c r="AD292" s="20">
        <f t="shared" si="279"/>
        <v>-12.271087254206208</v>
      </c>
      <c r="AE292" s="43">
        <f t="shared" si="280"/>
        <v>-64.069051405624634</v>
      </c>
      <c r="AF292" t="str">
        <f t="shared" si="262"/>
        <v>171,265703090588</v>
      </c>
      <c r="AG292" t="str">
        <f t="shared" si="263"/>
        <v>1+272,602662131613i</v>
      </c>
      <c r="AH292">
        <f t="shared" si="281"/>
        <v>272.60449629681892</v>
      </c>
      <c r="AI292">
        <f t="shared" si="282"/>
        <v>1.5671280004966968</v>
      </c>
      <c r="AJ292" t="str">
        <f t="shared" si="264"/>
        <v>1+0,690573428863372i</v>
      </c>
      <c r="AK292">
        <f t="shared" si="283"/>
        <v>1.2152743149808256</v>
      </c>
      <c r="AL292">
        <f t="shared" si="284"/>
        <v>0.60437134975166118</v>
      </c>
      <c r="AM292" t="str">
        <f t="shared" si="265"/>
        <v>1-0,0434098120120298i</v>
      </c>
      <c r="AN292">
        <f t="shared" si="285"/>
        <v>1.0009417624312216</v>
      </c>
      <c r="AO292">
        <f t="shared" si="286"/>
        <v>-4.3382575479950544E-2</v>
      </c>
      <c r="AP292" s="41" t="str">
        <f t="shared" si="287"/>
        <v>0,408956119128988-0,645594914882091i</v>
      </c>
      <c r="AQ292">
        <f t="shared" si="288"/>
        <v>-2.3355896816864523</v>
      </c>
      <c r="AR292" s="43">
        <f t="shared" si="289"/>
        <v>-57.647531265250016</v>
      </c>
      <c r="AS292" t="str">
        <f t="shared" si="266"/>
        <v>-0,0000166666666666667</v>
      </c>
      <c r="AT292" t="str">
        <f t="shared" si="267"/>
        <v>0,0000525526379365027i</v>
      </c>
      <c r="AU292">
        <f t="shared" si="290"/>
        <v>5.2552637936502703E-5</v>
      </c>
      <c r="AV292">
        <f t="shared" si="291"/>
        <v>1.5707963267948966</v>
      </c>
      <c r="AW292" t="str">
        <f t="shared" si="268"/>
        <v>1+0,164703123966757i</v>
      </c>
      <c r="AX292">
        <f t="shared" si="292"/>
        <v>1.0134728013343075</v>
      </c>
      <c r="AY292">
        <f t="shared" si="293"/>
        <v>0.1632375972506781</v>
      </c>
      <c r="AZ292" t="str">
        <f t="shared" si="269"/>
        <v>1+11,3944615762456i</v>
      </c>
      <c r="BA292">
        <f t="shared" si="294"/>
        <v>11.438258373219996</v>
      </c>
      <c r="BB292">
        <f t="shared" si="295"/>
        <v>1.4832586746363141</v>
      </c>
      <c r="BC292" s="41" t="str">
        <f t="shared" si="296"/>
        <v>-3,46737207903892+0,888229355243542i</v>
      </c>
      <c r="BD292">
        <f t="shared" si="297"/>
        <v>11.076040664548188</v>
      </c>
      <c r="BE292" s="43">
        <f t="shared" si="298"/>
        <v>165.63163660250879</v>
      </c>
      <c r="BF292" s="41" t="str">
        <f t="shared" si="299"/>
        <v>-0,174673963175253+0,853775311284895i</v>
      </c>
      <c r="BG292" s="20">
        <f t="shared" si="300"/>
        <v>-1.1950465896580111</v>
      </c>
      <c r="BH292" s="43">
        <f t="shared" si="301"/>
        <v>101.56258519688419</v>
      </c>
      <c r="BI292" s="41" t="str">
        <f t="shared" si="255"/>
        <v>-0,844566674025738+2,60176461224851i</v>
      </c>
      <c r="BJ292" s="20">
        <f t="shared" si="302"/>
        <v>8.7404509828617272</v>
      </c>
      <c r="BK292" s="43">
        <f t="shared" si="256"/>
        <v>107.9841053372588</v>
      </c>
      <c r="BL292">
        <f t="shared" si="303"/>
        <v>-1.1950465896580111</v>
      </c>
      <c r="BM292" s="43">
        <f t="shared" si="304"/>
        <v>101.56258519688419</v>
      </c>
    </row>
    <row r="293" spans="14:65" x14ac:dyDescent="0.25">
      <c r="N293" s="9">
        <v>75</v>
      </c>
      <c r="O293" s="34">
        <f t="shared" si="305"/>
        <v>5623.4132519034993</v>
      </c>
      <c r="P293" s="33" t="str">
        <f t="shared" si="257"/>
        <v>54,631621870174</v>
      </c>
      <c r="Q293" s="4" t="str">
        <f t="shared" si="258"/>
        <v>1+281,647767885955i</v>
      </c>
      <c r="R293" s="4">
        <f t="shared" si="270"/>
        <v>281.64954314740288</v>
      </c>
      <c r="S293" s="4">
        <f t="shared" si="271"/>
        <v>1.5672458076289173</v>
      </c>
      <c r="T293" s="4" t="str">
        <f t="shared" si="259"/>
        <v>1+0,70665895041118i</v>
      </c>
      <c r="U293" s="4">
        <f t="shared" si="272"/>
        <v>1.2244863707678542</v>
      </c>
      <c r="V293" s="4">
        <f t="shared" si="273"/>
        <v>0.61518109178817015</v>
      </c>
      <c r="W293" t="str">
        <f t="shared" si="260"/>
        <v>1-0,140601770505365i</v>
      </c>
      <c r="X293" s="4">
        <f t="shared" si="274"/>
        <v>1.0098360549461696</v>
      </c>
      <c r="Y293" s="4">
        <f t="shared" si="275"/>
        <v>-0.13968609518578867</v>
      </c>
      <c r="Z293" t="str">
        <f t="shared" si="261"/>
        <v>0,999873508893593+0,0193175460743243i</v>
      </c>
      <c r="AA293" s="4">
        <f t="shared" si="276"/>
        <v>1.0000600988808221</v>
      </c>
      <c r="AB293" s="4">
        <f t="shared" si="277"/>
        <v>1.9317586613347308E-2</v>
      </c>
      <c r="AC293" s="47" t="str">
        <f t="shared" si="278"/>
        <v>0,106416117313489-0,214934309867757i</v>
      </c>
      <c r="AD293" s="20">
        <f t="shared" si="279"/>
        <v>-12.401724580956992</v>
      </c>
      <c r="AE293" s="43">
        <f t="shared" si="280"/>
        <v>-63.659529935128397</v>
      </c>
      <c r="AF293" t="str">
        <f t="shared" si="262"/>
        <v>171,265703090588</v>
      </c>
      <c r="AG293" t="str">
        <f t="shared" si="263"/>
        <v>1+278,952393836357i</v>
      </c>
      <c r="AH293">
        <f t="shared" si="281"/>
        <v>278.95418625113695</v>
      </c>
      <c r="AI293">
        <f t="shared" si="282"/>
        <v>1.5672115010739729</v>
      </c>
      <c r="AJ293" t="str">
        <f t="shared" si="264"/>
        <v>1+0,70665895041118i</v>
      </c>
      <c r="AK293">
        <f t="shared" si="283"/>
        <v>1.2244863707678542</v>
      </c>
      <c r="AL293">
        <f t="shared" si="284"/>
        <v>0.61518109178817015</v>
      </c>
      <c r="AM293" t="str">
        <f t="shared" si="265"/>
        <v>1-0,044420956428135i</v>
      </c>
      <c r="AN293">
        <f t="shared" si="285"/>
        <v>1.0009861244642657</v>
      </c>
      <c r="AO293">
        <f t="shared" si="286"/>
        <v>-4.439177351079851E-2</v>
      </c>
      <c r="AP293" s="41" t="str">
        <f t="shared" si="287"/>
        <v>0,408852640556952-0,631767156870471i</v>
      </c>
      <c r="AQ293">
        <f t="shared" si="288"/>
        <v>-2.4696093702318285</v>
      </c>
      <c r="AR293" s="43">
        <f t="shared" si="289"/>
        <v>-57.0907856874583</v>
      </c>
      <c r="AS293" t="str">
        <f t="shared" si="266"/>
        <v>-0,0000166666666666667</v>
      </c>
      <c r="AT293" t="str">
        <f t="shared" si="267"/>
        <v>0,0000537767461262909i</v>
      </c>
      <c r="AU293">
        <f t="shared" si="290"/>
        <v>5.37767461262909E-5</v>
      </c>
      <c r="AV293">
        <f t="shared" si="291"/>
        <v>1.5707963267948966</v>
      </c>
      <c r="AW293" t="str">
        <f t="shared" si="268"/>
        <v>1+0,168539552561931i</v>
      </c>
      <c r="AX293">
        <f t="shared" si="292"/>
        <v>1.0141033383131011</v>
      </c>
      <c r="AY293">
        <f t="shared" si="293"/>
        <v>0.16697038948196172</v>
      </c>
      <c r="AZ293" t="str">
        <f t="shared" si="269"/>
        <v>1+11,6598726817845i</v>
      </c>
      <c r="BA293">
        <f t="shared" si="294"/>
        <v>11.702676230479268</v>
      </c>
      <c r="BB293">
        <f t="shared" si="295"/>
        <v>1.4852414535118188</v>
      </c>
      <c r="BC293" s="41" t="str">
        <f t="shared" si="296"/>
        <v>-3,46306161767889+0,893586156355162i</v>
      </c>
      <c r="BD293">
        <f t="shared" si="297"/>
        <v>11.069144126837768</v>
      </c>
      <c r="BE293" s="43">
        <f t="shared" si="298"/>
        <v>165.5313682231311</v>
      </c>
      <c r="BF293" s="41" t="str">
        <f t="shared" si="299"/>
        <v>-0,176463247547179+0,839422728069731i</v>
      </c>
      <c r="BG293" s="20">
        <f t="shared" si="300"/>
        <v>-1.3325804541192254</v>
      </c>
      <c r="BH293" s="43">
        <f t="shared" si="301"/>
        <v>101.87183828800268</v>
      </c>
      <c r="BI293" s="41" t="str">
        <f t="shared" si="255"/>
        <v>-0,851343501380131+2,55319365185919i</v>
      </c>
      <c r="BJ293" s="20">
        <f t="shared" si="302"/>
        <v>8.5995347566059337</v>
      </c>
      <c r="BK293" s="43">
        <f t="shared" si="256"/>
        <v>108.44058253567282</v>
      </c>
      <c r="BL293">
        <f t="shared" si="303"/>
        <v>-1.3325804541192254</v>
      </c>
      <c r="BM293" s="43">
        <f t="shared" si="304"/>
        <v>101.87183828800268</v>
      </c>
    </row>
    <row r="294" spans="14:65" x14ac:dyDescent="0.25">
      <c r="N294" s="9">
        <v>76</v>
      </c>
      <c r="O294" s="34">
        <f t="shared" si="305"/>
        <v>5754.399373371567</v>
      </c>
      <c r="P294" s="33" t="str">
        <f t="shared" si="257"/>
        <v>54,631621870174</v>
      </c>
      <c r="Q294" s="4" t="str">
        <f t="shared" si="258"/>
        <v>1+288,208187169214i</v>
      </c>
      <c r="R294" s="4">
        <f t="shared" si="270"/>
        <v>288.20992202102394</v>
      </c>
      <c r="S294" s="4">
        <f t="shared" si="271"/>
        <v>1.5673266266559829</v>
      </c>
      <c r="T294" s="4" t="str">
        <f t="shared" si="259"/>
        <v>1+0,723119151888232i</v>
      </c>
      <c r="U294" s="4">
        <f t="shared" si="272"/>
        <v>1.2340588753489665</v>
      </c>
      <c r="V294" s="4">
        <f t="shared" si="273"/>
        <v>0.62607425223402691</v>
      </c>
      <c r="W294" t="str">
        <f t="shared" si="260"/>
        <v>1-0,143876806460406i</v>
      </c>
      <c r="X294" s="4">
        <f t="shared" si="274"/>
        <v>1.0102972510292429</v>
      </c>
      <c r="Y294" s="4">
        <f t="shared" si="275"/>
        <v>-0.1428961819745187</v>
      </c>
      <c r="Z294" t="str">
        <f t="shared" si="261"/>
        <v>0,999867547551407+0,0197675095259166i</v>
      </c>
      <c r="AA294" s="4">
        <f t="shared" si="276"/>
        <v>1.0000629315594707</v>
      </c>
      <c r="AB294" s="4">
        <f t="shared" si="277"/>
        <v>1.9767552960993383E-2</v>
      </c>
      <c r="AC294" s="47" t="str">
        <f t="shared" si="278"/>
        <v>0,106366384114511-0,211024601593488i</v>
      </c>
      <c r="AD294" s="20">
        <f t="shared" si="279"/>
        <v>-12.530142259941424</v>
      </c>
      <c r="AE294" s="43">
        <f t="shared" si="280"/>
        <v>-63.249734002685088</v>
      </c>
      <c r="AF294" t="str">
        <f t="shared" si="262"/>
        <v>171,265703090588</v>
      </c>
      <c r="AG294" t="str">
        <f t="shared" si="263"/>
        <v>1+285,450029792685i</v>
      </c>
      <c r="AH294">
        <f t="shared" si="281"/>
        <v>285.45178140737664</v>
      </c>
      <c r="AI294">
        <f t="shared" si="282"/>
        <v>1.5672931009943625</v>
      </c>
      <c r="AJ294" t="str">
        <f t="shared" si="264"/>
        <v>1+0,723119151888232i</v>
      </c>
      <c r="AK294">
        <f t="shared" si="283"/>
        <v>1.2340588753489665</v>
      </c>
      <c r="AL294">
        <f t="shared" si="284"/>
        <v>0.62607425223402691</v>
      </c>
      <c r="AM294" t="str">
        <f t="shared" si="265"/>
        <v>1-0,0454556534233192i</v>
      </c>
      <c r="AN294">
        <f t="shared" si="285"/>
        <v>1.0010325751083933</v>
      </c>
      <c r="AO294">
        <f t="shared" si="286"/>
        <v>-4.5424385105823487E-2</v>
      </c>
      <c r="AP294" s="41" t="str">
        <f t="shared" si="287"/>
        <v>0,408753819170836-0,618274336768021i</v>
      </c>
      <c r="AQ294">
        <f t="shared" si="288"/>
        <v>-2.6015653144686288</v>
      </c>
      <c r="AR294" s="43">
        <f t="shared" si="289"/>
        <v>-56.530493185669926</v>
      </c>
      <c r="AS294" t="str">
        <f t="shared" si="266"/>
        <v>-0,0000166666666666667</v>
      </c>
      <c r="AT294" t="str">
        <f t="shared" si="267"/>
        <v>0,0000550293674586945i</v>
      </c>
      <c r="AU294">
        <f t="shared" si="290"/>
        <v>5.5029367458694499E-5</v>
      </c>
      <c r="AV294">
        <f t="shared" si="291"/>
        <v>1.5707963267948966</v>
      </c>
      <c r="AW294" t="str">
        <f t="shared" si="268"/>
        <v>1+0,172465343058757i</v>
      </c>
      <c r="AX294">
        <f t="shared" si="292"/>
        <v>1.0147631716594641</v>
      </c>
      <c r="AY294">
        <f t="shared" si="293"/>
        <v>0.17078527283577077</v>
      </c>
      <c r="AZ294" t="str">
        <f t="shared" si="269"/>
        <v>1+11,9314660061558i</v>
      </c>
      <c r="BA294">
        <f t="shared" si="294"/>
        <v>11.97329867062755</v>
      </c>
      <c r="BB294">
        <f t="shared" si="295"/>
        <v>1.4871797506612325</v>
      </c>
      <c r="BC294" s="41" t="str">
        <f t="shared" si="296"/>
        <v>-3,45855948221842+0,899350232789935i</v>
      </c>
      <c r="BD294">
        <f t="shared" si="297"/>
        <v>11.062066952714913</v>
      </c>
      <c r="BE294" s="43">
        <f t="shared" si="298"/>
        <v>165.42384775372679</v>
      </c>
      <c r="BF294" s="41" t="str">
        <f t="shared" si="299"/>
        <v>-0,178089441801022+0,825501769136931i</v>
      </c>
      <c r="BG294" s="20">
        <f t="shared" si="300"/>
        <v>-1.4680753072265142</v>
      </c>
      <c r="BH294" s="43">
        <f t="shared" si="301"/>
        <v>102.17411375104169</v>
      </c>
      <c r="BI294" s="41" t="str">
        <f t="shared" si="255"/>
        <v>-0,857654228485926+2,50595141246641i</v>
      </c>
      <c r="BJ294" s="20">
        <f t="shared" si="302"/>
        <v>8.4605016382462814</v>
      </c>
      <c r="BK294" s="43">
        <f t="shared" si="256"/>
        <v>108.89335456805685</v>
      </c>
      <c r="BL294">
        <f t="shared" si="303"/>
        <v>-1.4680753072265142</v>
      </c>
      <c r="BM294" s="43">
        <f t="shared" si="304"/>
        <v>102.17411375104169</v>
      </c>
    </row>
    <row r="295" spans="14:65" x14ac:dyDescent="0.25">
      <c r="N295" s="9">
        <v>77</v>
      </c>
      <c r="O295" s="34">
        <f t="shared" si="305"/>
        <v>5888.4365535558973</v>
      </c>
      <c r="P295" s="33" t="str">
        <f t="shared" si="257"/>
        <v>54,631621870174</v>
      </c>
      <c r="Q295" s="4" t="str">
        <f t="shared" si="258"/>
        <v>1+294,921418248197i</v>
      </c>
      <c r="R295" s="4">
        <f t="shared" si="270"/>
        <v>294.92311361018818</v>
      </c>
      <c r="S295" s="4">
        <f t="shared" si="271"/>
        <v>1.5674056060611909</v>
      </c>
      <c r="T295" s="4" t="str">
        <f t="shared" si="259"/>
        <v>1+0,739962760711232i</v>
      </c>
      <c r="U295" s="4">
        <f t="shared" si="272"/>
        <v>1.2440035720364262</v>
      </c>
      <c r="V295" s="4">
        <f t="shared" si="273"/>
        <v>0.63704626624139327</v>
      </c>
      <c r="W295" t="str">
        <f t="shared" si="260"/>
        <v>1-0,147228127802668i</v>
      </c>
      <c r="X295" s="4">
        <f t="shared" si="274"/>
        <v>1.0107799570709139</v>
      </c>
      <c r="Y295" s="4">
        <f t="shared" si="275"/>
        <v>-0.14617797402667843</v>
      </c>
      <c r="Z295" t="str">
        <f t="shared" si="261"/>
        <v>0,999861305259819+0,0202279539727136i</v>
      </c>
      <c r="AA295" s="4">
        <f t="shared" si="276"/>
        <v>1.0000658977676378</v>
      </c>
      <c r="AB295" s="4">
        <f t="shared" si="277"/>
        <v>2.0228000510569073E-2</v>
      </c>
      <c r="AC295" s="47" t="str">
        <f t="shared" si="278"/>
        <v>0,106317157542579-0,207226748931475i</v>
      </c>
      <c r="AD295" s="20">
        <f t="shared" si="279"/>
        <v>-12.656301711073022</v>
      </c>
      <c r="AE295" s="43">
        <f t="shared" si="280"/>
        <v>-62.840023628997635</v>
      </c>
      <c r="AF295" t="str">
        <f t="shared" si="262"/>
        <v>171,265703090588</v>
      </c>
      <c r="AG295" t="str">
        <f t="shared" si="263"/>
        <v>1+292,099015133188i</v>
      </c>
      <c r="AH295">
        <f t="shared" si="281"/>
        <v>292.10072687649784</v>
      </c>
      <c r="AI295">
        <f t="shared" si="282"/>
        <v>1.5673728435188743</v>
      </c>
      <c r="AJ295" t="str">
        <f t="shared" si="264"/>
        <v>1+0,739962760711232i</v>
      </c>
      <c r="AK295">
        <f t="shared" si="283"/>
        <v>1.2440035720364262</v>
      </c>
      <c r="AL295">
        <f t="shared" si="284"/>
        <v>0.63704626624139327</v>
      </c>
      <c r="AM295" t="str">
        <f t="shared" si="265"/>
        <v>1-0,0465144516076253i</v>
      </c>
      <c r="AN295">
        <f t="shared" si="285"/>
        <v>1.0010812125938426</v>
      </c>
      <c r="AO295">
        <f t="shared" si="286"/>
        <v>-4.6480948955867997E-2</v>
      </c>
      <c r="AP295" s="41" t="str">
        <f t="shared" si="287"/>
        <v>0,408659445373045-0,60510930273217i</v>
      </c>
      <c r="AQ295">
        <f t="shared" si="288"/>
        <v>-2.7314259503479832</v>
      </c>
      <c r="AR295" s="43">
        <f t="shared" si="289"/>
        <v>-55.966948649785174</v>
      </c>
      <c r="AS295" t="str">
        <f t="shared" si="266"/>
        <v>-0,0000166666666666667</v>
      </c>
      <c r="AT295" t="str">
        <f t="shared" si="267"/>
        <v>0,0000563111660901248i</v>
      </c>
      <c r="AU295">
        <f t="shared" si="290"/>
        <v>5.6311166090124798E-5</v>
      </c>
      <c r="AV295">
        <f t="shared" si="291"/>
        <v>1.5707963267948966</v>
      </c>
      <c r="AW295" t="str">
        <f t="shared" si="268"/>
        <v>1+0,176482576963323i</v>
      </c>
      <c r="AX295">
        <f t="shared" si="292"/>
        <v>1.015453642453271</v>
      </c>
      <c r="AY295">
        <f t="shared" si="293"/>
        <v>0.17468382563673426</v>
      </c>
      <c r="AZ295" t="str">
        <f t="shared" si="269"/>
        <v>1+12,2093855517353i</v>
      </c>
      <c r="BA295">
        <f t="shared" si="294"/>
        <v>12.250269203202139</v>
      </c>
      <c r="BB295">
        <f t="shared" si="295"/>
        <v>1.4890745355055937</v>
      </c>
      <c r="BC295" s="41" t="str">
        <f t="shared" si="296"/>
        <v>-3,45385769707737+0,905520161360505i</v>
      </c>
      <c r="BD295">
        <f t="shared" si="297"/>
        <v>11.054795192368589</v>
      </c>
      <c r="BE295" s="43">
        <f t="shared" si="298"/>
        <v>165.30904030668995</v>
      </c>
      <c r="BF295" s="41" t="str">
        <f t="shared" si="299"/>
        <v>-0,179556333779182+0,812004031490641i</v>
      </c>
      <c r="BG295" s="20">
        <f t="shared" si="300"/>
        <v>-1.6015065187044293</v>
      </c>
      <c r="BH295" s="43">
        <f t="shared" si="301"/>
        <v>102.46901667769231</v>
      </c>
      <c r="BI295" s="41" t="str">
        <f t="shared" si="255"/>
        <v>-0,863512897434283+2,46001078973032i</v>
      </c>
      <c r="BJ295" s="20">
        <f t="shared" si="302"/>
        <v>8.3233692420206058</v>
      </c>
      <c r="BK295" s="43">
        <f t="shared" si="256"/>
        <v>109.34209165690476</v>
      </c>
      <c r="BL295">
        <f t="shared" si="303"/>
        <v>-1.6015065187044293</v>
      </c>
      <c r="BM295" s="43">
        <f t="shared" si="304"/>
        <v>102.46901667769231</v>
      </c>
    </row>
    <row r="296" spans="14:65" x14ac:dyDescent="0.25">
      <c r="N296" s="9">
        <v>78</v>
      </c>
      <c r="O296" s="34">
        <f t="shared" si="305"/>
        <v>6025.595860743585</v>
      </c>
      <c r="P296" s="33" t="str">
        <f t="shared" si="257"/>
        <v>54,631621870174</v>
      </c>
      <c r="Q296" s="4" t="str">
        <f t="shared" si="258"/>
        <v>1+301,791020566882i</v>
      </c>
      <c r="R296" s="4">
        <f t="shared" si="270"/>
        <v>301.79267733793711</v>
      </c>
      <c r="S296" s="4">
        <f t="shared" si="271"/>
        <v>1.5674827877165243</v>
      </c>
      <c r="T296" s="4" t="str">
        <f t="shared" si="259"/>
        <v>1+0,757198707584524i</v>
      </c>
      <c r="U296" s="4">
        <f t="shared" si="272"/>
        <v>1.2543324450749385</v>
      </c>
      <c r="V296" s="4">
        <f t="shared" si="273"/>
        <v>0.6480923846733514</v>
      </c>
      <c r="W296" t="str">
        <f t="shared" si="260"/>
        <v>1-0,150657511447086i</v>
      </c>
      <c r="X296" s="4">
        <f t="shared" si="274"/>
        <v>1.0112851653986767</v>
      </c>
      <c r="Y296" s="4">
        <f t="shared" si="275"/>
        <v>-0.14953292848126551</v>
      </c>
      <c r="Z296" t="str">
        <f t="shared" si="261"/>
        <v>0,999854768778092+0,0206991235484554i</v>
      </c>
      <c r="AA296" s="4">
        <f t="shared" si="276"/>
        <v>1.0000690038012208</v>
      </c>
      <c r="AB296" s="4">
        <f t="shared" si="277"/>
        <v>2.0699173410550633E-2</v>
      </c>
      <c r="AC296" s="47" t="str">
        <f t="shared" si="278"/>
        <v>0,106268333217118-0,203538737227399i</v>
      </c>
      <c r="AD296" s="20">
        <f t="shared" si="279"/>
        <v>-12.780165568171533</v>
      </c>
      <c r="AE296" s="43">
        <f t="shared" si="280"/>
        <v>-62.430770795247511</v>
      </c>
      <c r="AF296" t="str">
        <f t="shared" si="262"/>
        <v>171,265703090588</v>
      </c>
      <c r="AG296" t="str">
        <f t="shared" si="263"/>
        <v>1+298,902875237901i</v>
      </c>
      <c r="AH296">
        <f t="shared" si="281"/>
        <v>298.90454801739668</v>
      </c>
      <c r="AI296">
        <f t="shared" si="282"/>
        <v>1.5674507709239918</v>
      </c>
      <c r="AJ296" t="str">
        <f t="shared" si="264"/>
        <v>1+0,757198707584524i</v>
      </c>
      <c r="AK296">
        <f t="shared" si="283"/>
        <v>1.2543324450749385</v>
      </c>
      <c r="AL296">
        <f t="shared" si="284"/>
        <v>0.6480923846733514</v>
      </c>
      <c r="AM296" t="str">
        <f t="shared" si="265"/>
        <v>1-0,0475979123698652i</v>
      </c>
      <c r="AN296">
        <f t="shared" si="285"/>
        <v>1.0011321397607658</v>
      </c>
      <c r="AO296">
        <f t="shared" si="286"/>
        <v>-4.7562015823934697E-2</v>
      </c>
      <c r="AP296" s="41" t="str">
        <f t="shared" si="287"/>
        <v>0,408569318998514-0,592265076568069i</v>
      </c>
      <c r="AQ296">
        <f t="shared" si="288"/>
        <v>-2.8591612274600409</v>
      </c>
      <c r="AR296" s="43">
        <f t="shared" si="289"/>
        <v>-55.400458163965681</v>
      </c>
      <c r="AS296" t="str">
        <f t="shared" si="266"/>
        <v>-0,0000166666666666667</v>
      </c>
      <c r="AT296" t="str">
        <f t="shared" si="267"/>
        <v>0,0000576228216471823i</v>
      </c>
      <c r="AU296">
        <f t="shared" si="290"/>
        <v>5.7622821647182297E-5</v>
      </c>
      <c r="AV296">
        <f t="shared" si="291"/>
        <v>1.5707963267948966</v>
      </c>
      <c r="AW296" t="str">
        <f t="shared" si="268"/>
        <v>1+0,180593384266217i</v>
      </c>
      <c r="AX296">
        <f t="shared" si="292"/>
        <v>1.0161761512851626</v>
      </c>
      <c r="AY296">
        <f t="shared" si="293"/>
        <v>0.17866764068896338</v>
      </c>
      <c r="AZ296" t="str">
        <f t="shared" si="269"/>
        <v>1+12,4937786751446i</v>
      </c>
      <c r="BA296">
        <f t="shared" si="294"/>
        <v>12.533734702134792</v>
      </c>
      <c r="BB296">
        <f t="shared" si="295"/>
        <v>1.4909267582332209</v>
      </c>
      <c r="BC296" s="41" t="str">
        <f t="shared" si="296"/>
        <v>-3,44894800588281+0,912094445945415i</v>
      </c>
      <c r="BD296">
        <f t="shared" si="297"/>
        <v>11.047314569957065</v>
      </c>
      <c r="BE296" s="43">
        <f t="shared" si="298"/>
        <v>165.18690906284775</v>
      </c>
      <c r="BF296" s="41" t="str">
        <f t="shared" si="299"/>
        <v>-0,180867404177815+0,798921278387553i</v>
      </c>
      <c r="BG296" s="20">
        <f t="shared" si="300"/>
        <v>-1.7328509982144698</v>
      </c>
      <c r="BH296" s="43">
        <f t="shared" si="301"/>
        <v>102.75613826760022</v>
      </c>
      <c r="BI296" s="41" t="str">
        <f t="shared" si="255"/>
        <v>-0,868932651159651+2,41534526142572i</v>
      </c>
      <c r="BJ296" s="20">
        <f t="shared" si="302"/>
        <v>8.1881533424970314</v>
      </c>
      <c r="BK296" s="43">
        <f t="shared" si="256"/>
        <v>109.78645089888205</v>
      </c>
      <c r="BL296">
        <f t="shared" si="303"/>
        <v>-1.7328509982144698</v>
      </c>
      <c r="BM296" s="43">
        <f t="shared" si="304"/>
        <v>102.75613826760022</v>
      </c>
    </row>
    <row r="297" spans="14:65" x14ac:dyDescent="0.25">
      <c r="N297" s="9">
        <v>79</v>
      </c>
      <c r="O297" s="34">
        <f t="shared" si="305"/>
        <v>6165.9500186148289</v>
      </c>
      <c r="P297" s="33" t="str">
        <f t="shared" si="257"/>
        <v>54,631621870174</v>
      </c>
      <c r="Q297" s="4" t="str">
        <f t="shared" si="258"/>
        <v>1+308,820636479347i</v>
      </c>
      <c r="R297" s="4">
        <f t="shared" si="270"/>
        <v>308.82225553788862</v>
      </c>
      <c r="S297" s="4">
        <f t="shared" si="271"/>
        <v>1.5675582125410377</v>
      </c>
      <c r="T297" s="4" t="str">
        <f t="shared" si="259"/>
        <v>1+0,774836131235288i</v>
      </c>
      <c r="U297" s="4">
        <f t="shared" si="272"/>
        <v>1.2650577181566336</v>
      </c>
      <c r="V297" s="4">
        <f t="shared" si="273"/>
        <v>0.6592076822230567</v>
      </c>
      <c r="W297" t="str">
        <f t="shared" si="260"/>
        <v>1-0,154166775698261i</v>
      </c>
      <c r="X297" s="4">
        <f t="shared" si="274"/>
        <v>1.0118139130933108</v>
      </c>
      <c r="Y297" s="4">
        <f t="shared" si="275"/>
        <v>-0.15296252192359186</v>
      </c>
      <c r="Z297" t="str">
        <f t="shared" si="261"/>
        <v>0,999847924241472+0,021181268073488i</v>
      </c>
      <c r="AA297" s="4">
        <f t="shared" si="276"/>
        <v>1.0000722562531075</v>
      </c>
      <c r="AB297" s="4">
        <f t="shared" si="277"/>
        <v>2.1181321497068199E-2</v>
      </c>
      <c r="AC297" s="47" t="str">
        <f t="shared" si="278"/>
        <v>0,106219807613391-0,199958609906641i</v>
      </c>
      <c r="AD297" s="20">
        <f t="shared" si="279"/>
        <v>-12.901697772360563</v>
      </c>
      <c r="AE297" s="43">
        <f t="shared" si="280"/>
        <v>-62.022358961881331</v>
      </c>
      <c r="AF297" t="str">
        <f t="shared" si="262"/>
        <v>171,265703090588</v>
      </c>
      <c r="AG297" t="str">
        <f t="shared" si="263"/>
        <v>1+305,865217603513i</v>
      </c>
      <c r="AH297">
        <f t="shared" si="281"/>
        <v>305.86685230610448</v>
      </c>
      <c r="AI297">
        <f t="shared" si="282"/>
        <v>1.5675269245240682</v>
      </c>
      <c r="AJ297" t="str">
        <f t="shared" si="264"/>
        <v>1+0,774836131235288i</v>
      </c>
      <c r="AK297">
        <f t="shared" si="283"/>
        <v>1.2650577181566336</v>
      </c>
      <c r="AL297">
        <f t="shared" si="284"/>
        <v>0.6592076822230567</v>
      </c>
      <c r="AM297" t="str">
        <f t="shared" si="265"/>
        <v>1-0,0487066101752766i</v>
      </c>
      <c r="AN297">
        <f t="shared" si="285"/>
        <v>1.0011854642746101</v>
      </c>
      <c r="AO297">
        <f t="shared" si="286"/>
        <v>-4.8668148792648219E-2</v>
      </c>
      <c r="AP297" s="41" t="str">
        <f t="shared" si="287"/>
        <v>0,408483248890274-0,579734850038588i</v>
      </c>
      <c r="AQ297">
        <f t="shared" si="288"/>
        <v>-2.9847427137208897</v>
      </c>
      <c r="AR297" s="43">
        <f t="shared" si="289"/>
        <v>-54.831338556902111</v>
      </c>
      <c r="AS297" t="str">
        <f t="shared" si="266"/>
        <v>-0,0000166666666666667</v>
      </c>
      <c r="AT297" t="str">
        <f t="shared" si="267"/>
        <v>0,0000589650295870054i</v>
      </c>
      <c r="AU297">
        <f t="shared" si="290"/>
        <v>5.8965029587005401E-5</v>
      </c>
      <c r="AV297">
        <f t="shared" si="291"/>
        <v>1.5707963267948966</v>
      </c>
      <c r="AW297" t="str">
        <f t="shared" si="268"/>
        <v>1+0,184799944571885i</v>
      </c>
      <c r="AX297">
        <f t="shared" si="292"/>
        <v>1.0169321607235027</v>
      </c>
      <c r="AY297">
        <f t="shared" si="293"/>
        <v>0.18273832420342151</v>
      </c>
      <c r="AZ297" t="str">
        <f t="shared" si="269"/>
        <v>1+12,7847961653823i</v>
      </c>
      <c r="BA297">
        <f t="shared" si="294"/>
        <v>12.823845483721877</v>
      </c>
      <c r="BB297">
        <f t="shared" si="295"/>
        <v>1.4927373500529952</v>
      </c>
      <c r="BC297" s="41" t="str">
        <f t="shared" si="296"/>
        <v>-3,44382186643569+0,91907149974698i</v>
      </c>
      <c r="BD297">
        <f t="shared" si="297"/>
        <v>11.039610462175254</v>
      </c>
      <c r="BE297" s="43">
        <f t="shared" si="298"/>
        <v>165.05741534742975</v>
      </c>
      <c r="BF297" s="41" t="str">
        <f t="shared" si="299"/>
        <v>-0,18202583661337+0,78624543106465i</v>
      </c>
      <c r="BG297" s="20">
        <f t="shared" si="300"/>
        <v>-1.8620873101853066</v>
      </c>
      <c r="BH297" s="43">
        <f t="shared" si="301"/>
        <v>103.03505638554839</v>
      </c>
      <c r="BI297" s="41" t="str">
        <f t="shared" si="255"/>
        <v>-0,873925766520462+2,37192886547681i</v>
      </c>
      <c r="BJ297" s="20">
        <f t="shared" si="302"/>
        <v>8.0548677484543667</v>
      </c>
      <c r="BK297" s="43">
        <f t="shared" si="256"/>
        <v>110.22607679052761</v>
      </c>
      <c r="BL297">
        <f t="shared" si="303"/>
        <v>-1.8620873101853066</v>
      </c>
      <c r="BM297" s="43">
        <f t="shared" si="304"/>
        <v>103.03505638554839</v>
      </c>
    </row>
    <row r="298" spans="14:65" x14ac:dyDescent="0.25">
      <c r="N298" s="9">
        <v>80</v>
      </c>
      <c r="O298" s="34">
        <f t="shared" si="305"/>
        <v>6309.5734448019384</v>
      </c>
      <c r="P298" s="33" t="str">
        <f t="shared" si="257"/>
        <v>54,631621870174</v>
      </c>
      <c r="Q298" s="4" t="str">
        <f t="shared" si="258"/>
        <v>1+316,013993180998i</v>
      </c>
      <c r="R298" s="4">
        <f t="shared" si="270"/>
        <v>316.01557538545444</v>
      </c>
      <c r="S298" s="4">
        <f t="shared" si="271"/>
        <v>1.5676319205225369</v>
      </c>
      <c r="T298" s="4" t="str">
        <f t="shared" si="259"/>
        <v>1+0,792884383259i</v>
      </c>
      <c r="U298" s="4">
        <f t="shared" si="272"/>
        <v>1.2761918528246468</v>
      </c>
      <c r="V298" s="4">
        <f t="shared" si="273"/>
        <v>0.67038706649917934</v>
      </c>
      <c r="W298" t="str">
        <f t="shared" si="260"/>
        <v>1-0,157757781214549i</v>
      </c>
      <c r="X298" s="4">
        <f t="shared" si="274"/>
        <v>1.0123672839111986</v>
      </c>
      <c r="Y298" s="4">
        <f t="shared" si="275"/>
        <v>-0.15646824988901661</v>
      </c>
      <c r="Z298" t="str">
        <f t="shared" si="261"/>
        <v>0,999840757131779+0,0216746431872203i</v>
      </c>
      <c r="AA298" s="4">
        <f t="shared" si="276"/>
        <v>1.0000756620272</v>
      </c>
      <c r="AB298" s="4">
        <f t="shared" si="277"/>
        <v>2.1674700426437023E-2</v>
      </c>
      <c r="AC298" s="47" t="str">
        <f t="shared" si="278"/>
        <v>0,106171477843231-0,196484467431425i</v>
      </c>
      <c r="AD298" s="20">
        <f t="shared" si="279"/>
        <v>-13.020863661186484</v>
      </c>
      <c r="AE298" s="43">
        <f t="shared" si="280"/>
        <v>-61.615182528454149</v>
      </c>
      <c r="AF298" t="str">
        <f t="shared" si="262"/>
        <v>171,265703090588</v>
      </c>
      <c r="AG298" t="str">
        <f t="shared" si="263"/>
        <v>1+312,989733756102i</v>
      </c>
      <c r="AH298">
        <f t="shared" si="281"/>
        <v>312.99133124851176</v>
      </c>
      <c r="AI298">
        <f t="shared" si="282"/>
        <v>1.5676013446932151</v>
      </c>
      <c r="AJ298" t="str">
        <f t="shared" si="264"/>
        <v>1+0,792884383259i</v>
      </c>
      <c r="AK298">
        <f t="shared" si="283"/>
        <v>1.2761918528246468</v>
      </c>
      <c r="AL298">
        <f t="shared" si="284"/>
        <v>0.67038706649917934</v>
      </c>
      <c r="AM298" t="str">
        <f t="shared" si="265"/>
        <v>1-0,0498411328701109i</v>
      </c>
      <c r="AN298">
        <f t="shared" si="285"/>
        <v>1.0012412988514687</v>
      </c>
      <c r="AO298">
        <f t="shared" si="286"/>
        <v>-4.9799923515099438E-2</v>
      </c>
      <c r="AP298" s="41" t="str">
        <f t="shared" si="287"/>
        <v>0,408401052494076-0,567511981263775i</v>
      </c>
      <c r="AQ298">
        <f t="shared" si="288"/>
        <v>-3.1081436960595221</v>
      </c>
      <c r="AR298" s="43">
        <f t="shared" si="289"/>
        <v>-54.259916896884256</v>
      </c>
      <c r="AS298" t="str">
        <f t="shared" si="266"/>
        <v>-0,0000166666666666667</v>
      </c>
      <c r="AT298" t="str">
        <f t="shared" si="267"/>
        <v>0,0000603385015660099i</v>
      </c>
      <c r="AU298">
        <f t="shared" si="290"/>
        <v>6.03385015660099E-5</v>
      </c>
      <c r="AV298">
        <f t="shared" si="291"/>
        <v>1.5707963267948966</v>
      </c>
      <c r="AW298" t="str">
        <f t="shared" si="268"/>
        <v>1+0,189104488254282i</v>
      </c>
      <c r="AX298">
        <f t="shared" si="292"/>
        <v>1.0177231978676293</v>
      </c>
      <c r="AY298">
        <f t="shared" si="293"/>
        <v>0.18689749462019564</v>
      </c>
      <c r="AZ298" t="str">
        <f t="shared" si="269"/>
        <v>1+13,0825923237735i</v>
      </c>
      <c r="BA298">
        <f t="shared" si="294"/>
        <v>13.120755386411917</v>
      </c>
      <c r="BB298">
        <f t="shared" si="295"/>
        <v>1.4945072234536874</v>
      </c>
      <c r="BC298" s="41" t="str">
        <f t="shared" si="296"/>
        <v>-3,43847044609801+0,926449626689642i</v>
      </c>
      <c r="BD298">
        <f t="shared" si="297"/>
        <v>11.031667876771449</v>
      </c>
      <c r="BE298" s="43">
        <f t="shared" si="298"/>
        <v>164.92051871240511</v>
      </c>
      <c r="BF298" s="41" t="str">
        <f t="shared" si="299"/>
        <v>-0,183034527280343+0,773968560393211i</v>
      </c>
      <c r="BG298" s="20">
        <f t="shared" si="300"/>
        <v>-1.9891957844150299</v>
      </c>
      <c r="BH298" s="43">
        <f t="shared" si="301"/>
        <v>103.30533618395096</v>
      </c>
      <c r="BI298" s="41" t="str">
        <f t="shared" si="255"/>
        <v>-0,878503685972479+2,32973617800481i</v>
      </c>
      <c r="BJ298" s="20">
        <f t="shared" si="302"/>
        <v>7.9235241807119214</v>
      </c>
      <c r="BK298" s="43">
        <f t="shared" si="256"/>
        <v>110.66060181552086</v>
      </c>
      <c r="BL298">
        <f t="shared" si="303"/>
        <v>-1.9891957844150299</v>
      </c>
      <c r="BM298" s="43">
        <f t="shared" si="304"/>
        <v>103.30533618395096</v>
      </c>
    </row>
    <row r="299" spans="14:65" x14ac:dyDescent="0.25">
      <c r="N299" s="9">
        <v>81</v>
      </c>
      <c r="O299" s="34">
        <f t="shared" si="305"/>
        <v>6456.5422903465615</v>
      </c>
      <c r="P299" s="33" t="str">
        <f t="shared" si="257"/>
        <v>54,631621870174</v>
      </c>
      <c r="Q299" s="4" t="str">
        <f t="shared" si="258"/>
        <v>1+323,374904684774i</v>
      </c>
      <c r="R299" s="4">
        <f t="shared" si="270"/>
        <v>323.37645087403428</v>
      </c>
      <c r="S299" s="4">
        <f t="shared" si="271"/>
        <v>1.5677039507387638</v>
      </c>
      <c r="T299" s="4" t="str">
        <f t="shared" si="259"/>
        <v>1+0,811353033077784i</v>
      </c>
      <c r="U299" s="4">
        <f t="shared" si="272"/>
        <v>1.2877475467980979</v>
      </c>
      <c r="V299" s="4">
        <f t="shared" si="273"/>
        <v>0.68162528805066391</v>
      </c>
      <c r="W299" t="str">
        <f t="shared" si="260"/>
        <v>1-0,161432431994608i</v>
      </c>
      <c r="X299" s="4">
        <f t="shared" si="274"/>
        <v>1.0129464102802743</v>
      </c>
      <c r="Y299" s="4">
        <f t="shared" si="275"/>
        <v>-0.16005162629730854</v>
      </c>
      <c r="Z299" t="str">
        <f t="shared" si="261"/>
        <v>0,999833252246612+0,0221795104836684i</v>
      </c>
      <c r="AA299" s="4">
        <f t="shared" si="276"/>
        <v>1.0000792283531004</v>
      </c>
      <c r="AB299" s="4">
        <f t="shared" si="277"/>
        <v>2.2179571810781239E-2</v>
      </c>
      <c r="AC299" s="47" t="str">
        <f t="shared" si="278"/>
        <v>0,106123241437148-0,193114466287426i</v>
      </c>
      <c r="AD299" s="20">
        <f t="shared" si="279"/>
        <v>-13.137630052690522</v>
      </c>
      <c r="AE299" s="43">
        <f t="shared" si="280"/>
        <v>-61.209646235830071</v>
      </c>
      <c r="AF299" t="str">
        <f t="shared" si="262"/>
        <v>171,265703090588</v>
      </c>
      <c r="AG299" t="str">
        <f t="shared" si="263"/>
        <v>1+320,280201208439i</v>
      </c>
      <c r="AH299">
        <f t="shared" si="281"/>
        <v>320.28176233766135</v>
      </c>
      <c r="AI299">
        <f t="shared" si="282"/>
        <v>1.5676740708866923</v>
      </c>
      <c r="AJ299" t="str">
        <f t="shared" si="264"/>
        <v>1+0,811353033077784i</v>
      </c>
      <c r="AK299">
        <f t="shared" si="283"/>
        <v>1.2877475467980979</v>
      </c>
      <c r="AL299">
        <f t="shared" si="284"/>
        <v>0.68162528805066391</v>
      </c>
      <c r="AM299" t="str">
        <f t="shared" si="265"/>
        <v>1-0,0510020819933186i</v>
      </c>
      <c r="AN299">
        <f t="shared" si="285"/>
        <v>1.0012997614938561</v>
      </c>
      <c r="AO299">
        <f t="shared" si="286"/>
        <v>-5.0957928468990089E-2</v>
      </c>
      <c r="AP299" s="41" t="str">
        <f t="shared" si="287"/>
        <v>0,408322555471281-0,555589991207883i</v>
      </c>
      <c r="AQ299">
        <f t="shared" si="288"/>
        <v>-3.2293392763293651</v>
      </c>
      <c r="AR299" s="43">
        <f t="shared" si="289"/>
        <v>-53.686529933210799</v>
      </c>
      <c r="AS299" t="str">
        <f t="shared" si="266"/>
        <v>-0,0000166666666666667</v>
      </c>
      <c r="AT299" t="str">
        <f t="shared" si="267"/>
        <v>0,0000617439658172193i</v>
      </c>
      <c r="AU299">
        <f t="shared" si="290"/>
        <v>6.17439658172193E-5</v>
      </c>
      <c r="AV299">
        <f t="shared" si="291"/>
        <v>1.5707963267948966</v>
      </c>
      <c r="AW299" t="str">
        <f t="shared" si="268"/>
        <v>1+0,193509297639445i</v>
      </c>
      <c r="AX299">
        <f t="shared" si="292"/>
        <v>1.0185508569889437</v>
      </c>
      <c r="AY299">
        <f t="shared" si="293"/>
        <v>0.19114678131976195</v>
      </c>
      <c r="AZ299" t="str">
        <f t="shared" si="269"/>
        <v>1+13,3873250457834i</v>
      </c>
      <c r="BA299">
        <f t="shared" si="294"/>
        <v>13.42462185245676</v>
      </c>
      <c r="BB299">
        <f t="shared" si="295"/>
        <v>1.4962372724684716</v>
      </c>
      <c r="BC299" s="41" t="str">
        <f t="shared" si="296"/>
        <v>-3,43288461766672+0,934227001932697i</v>
      </c>
      <c r="BD299">
        <f t="shared" si="297"/>
        <v>11.023471431032668</v>
      </c>
      <c r="BE299" s="43">
        <f t="shared" si="298"/>
        <v>164.77617702547678</v>
      </c>
      <c r="BF299" s="41" t="str">
        <f t="shared" si="299"/>
        <v>-0,183896094236982+0,76208287845023i</v>
      </c>
      <c r="BG299" s="20">
        <f t="shared" si="300"/>
        <v>-2.1141586216578472</v>
      </c>
      <c r="BH299" s="43">
        <f t="shared" si="301"/>
        <v>103.56653078964671</v>
      </c>
      <c r="BI299" s="41" t="str">
        <f t="shared" si="255"/>
        <v>-0,882677047933772+2,28874229136656i</v>
      </c>
      <c r="BJ299" s="20">
        <f t="shared" si="302"/>
        <v>7.7941321547032949</v>
      </c>
      <c r="BK299" s="43">
        <f t="shared" si="256"/>
        <v>111.08964709226599</v>
      </c>
      <c r="BL299">
        <f t="shared" si="303"/>
        <v>-2.1141586216578472</v>
      </c>
      <c r="BM299" s="43">
        <f t="shared" si="304"/>
        <v>103.56653078964671</v>
      </c>
    </row>
    <row r="300" spans="14:65" x14ac:dyDescent="0.25">
      <c r="N300" s="9">
        <v>82</v>
      </c>
      <c r="O300" s="34">
        <f t="shared" si="305"/>
        <v>6606.9344800759654</v>
      </c>
      <c r="P300" s="33" t="str">
        <f t="shared" si="257"/>
        <v>54,631621870174</v>
      </c>
      <c r="Q300" s="4" t="str">
        <f t="shared" si="258"/>
        <v>1+330,907273843385i</v>
      </c>
      <c r="R300" s="4">
        <f t="shared" si="270"/>
        <v>330.90878483724327</v>
      </c>
      <c r="S300" s="4">
        <f t="shared" si="271"/>
        <v>1.5677743413781013</v>
      </c>
      <c r="T300" s="4" t="str">
        <f t="shared" si="259"/>
        <v>1+0,83025187301423i</v>
      </c>
      <c r="U300" s="4">
        <f t="shared" si="272"/>
        <v>1.2997377322535639</v>
      </c>
      <c r="V300" s="4">
        <f t="shared" si="273"/>
        <v>0.69291695129445097</v>
      </c>
      <c r="W300" t="str">
        <f t="shared" si="260"/>
        <v>1-0,165192676386922i</v>
      </c>
      <c r="X300" s="4">
        <f t="shared" si="274"/>
        <v>1.0135524753715883</v>
      </c>
      <c r="Y300" s="4">
        <f t="shared" si="275"/>
        <v>-0.16371418281301284</v>
      </c>
      <c r="Z300" t="str">
        <f t="shared" si="261"/>
        <v>0,999825393667104+0,0226961376501553i</v>
      </c>
      <c r="AA300" s="4">
        <f t="shared" si="276"/>
        <v>1.000082962801494</v>
      </c>
      <c r="AB300" s="4">
        <f t="shared" si="277"/>
        <v>2.2696203356818521E-2</v>
      </c>
      <c r="AC300" s="47" t="str">
        <f t="shared" si="278"/>
        <v>0,106074996127358-0,189846817999265i</v>
      </c>
      <c r="AD300" s="20">
        <f t="shared" si="279"/>
        <v>-13.251965323682969</v>
      </c>
      <c r="AE300" s="43">
        <f t="shared" si="280"/>
        <v>-60.806164512558581</v>
      </c>
      <c r="AF300" t="str">
        <f t="shared" si="262"/>
        <v>171,265703090588</v>
      </c>
      <c r="AG300" t="str">
        <f t="shared" si="263"/>
        <v>1+327,740485462865i</v>
      </c>
      <c r="AH300">
        <f t="shared" si="281"/>
        <v>327.74201105661513</v>
      </c>
      <c r="AI300">
        <f t="shared" si="282"/>
        <v>1.5677451416618111</v>
      </c>
      <c r="AJ300" t="str">
        <f t="shared" si="264"/>
        <v>1+0,83025187301423i</v>
      </c>
      <c r="AK300">
        <f t="shared" si="283"/>
        <v>1.2997377322535639</v>
      </c>
      <c r="AL300">
        <f t="shared" si="284"/>
        <v>0.69291695129445097</v>
      </c>
      <c r="AM300" t="str">
        <f t="shared" si="265"/>
        <v>1-0,0521900730954912i</v>
      </c>
      <c r="AN300">
        <f t="shared" si="285"/>
        <v>1.0013609757373776</v>
      </c>
      <c r="AO300">
        <f t="shared" si="286"/>
        <v>-5.2142765213970613E-2</v>
      </c>
      <c r="AP300" s="41" t="str">
        <f t="shared" si="287"/>
        <v>0,408247591329157-0,543962560252181i</v>
      </c>
      <c r="AQ300">
        <f t="shared" si="288"/>
        <v>-3.3483064616826579</v>
      </c>
      <c r="AR300" s="43">
        <f t="shared" si="289"/>
        <v>-53.111523486019109</v>
      </c>
      <c r="AS300" t="str">
        <f t="shared" si="266"/>
        <v>-0,0000166666666666667</v>
      </c>
      <c r="AT300" t="str">
        <f t="shared" si="267"/>
        <v>0,0000631821675363829i</v>
      </c>
      <c r="AU300">
        <f t="shared" si="290"/>
        <v>6.3182167536382898E-5</v>
      </c>
      <c r="AV300">
        <f t="shared" si="291"/>
        <v>1.5707963267948966</v>
      </c>
      <c r="AW300" t="str">
        <f t="shared" si="268"/>
        <v>1+0,198016708215615i</v>
      </c>
      <c r="AX300">
        <f t="shared" si="292"/>
        <v>1.0194168022612478</v>
      </c>
      <c r="AY300">
        <f t="shared" si="293"/>
        <v>0.19548782321716338</v>
      </c>
      <c r="AZ300" t="str">
        <f t="shared" si="269"/>
        <v>1+13,6991559047348i</v>
      </c>
      <c r="BA300">
        <f t="shared" si="294"/>
        <v>13.735606011466343</v>
      </c>
      <c r="BB300">
        <f t="shared" si="295"/>
        <v>1.4979283729438</v>
      </c>
      <c r="BC300" s="41" t="str">
        <f t="shared" si="296"/>
        <v>-3,42705495580484+0,942401651473209i</v>
      </c>
      <c r="BD300">
        <f t="shared" si="297"/>
        <v>11.01500533025909</v>
      </c>
      <c r="BE300" s="43">
        <f t="shared" si="298"/>
        <v>164.62434656603511</v>
      </c>
      <c r="BF300" s="41" t="str">
        <f t="shared" si="299"/>
        <v>-0,1846128863558+0,750580729998597i</v>
      </c>
      <c r="BG300" s="20">
        <f t="shared" si="300"/>
        <v>-2.2369599934238797</v>
      </c>
      <c r="BH300" s="43">
        <f t="shared" si="301"/>
        <v>103.81818205347652</v>
      </c>
      <c r="BI300" s="41" t="str">
        <f t="shared" si="255"/>
        <v>-0,886455715938726+2,24892279216308i</v>
      </c>
      <c r="BJ300" s="20">
        <f t="shared" si="302"/>
        <v>7.666698868576419</v>
      </c>
      <c r="BK300" s="43">
        <f t="shared" si="256"/>
        <v>111.51282308001603</v>
      </c>
      <c r="BL300">
        <f t="shared" si="303"/>
        <v>-2.2369599934238797</v>
      </c>
      <c r="BM300" s="43">
        <f t="shared" si="304"/>
        <v>103.81818205347652</v>
      </c>
    </row>
    <row r="301" spans="14:65" x14ac:dyDescent="0.25">
      <c r="N301" s="9">
        <v>83</v>
      </c>
      <c r="O301" s="34">
        <f t="shared" si="305"/>
        <v>6760.8297539198229</v>
      </c>
      <c r="P301" s="33" t="str">
        <f t="shared" si="257"/>
        <v>54,631621870174</v>
      </c>
      <c r="Q301" s="4" t="str">
        <f t="shared" si="258"/>
        <v>1+338,615094418665i</v>
      </c>
      <c r="R301" s="4">
        <f t="shared" si="270"/>
        <v>338.61657101825574</v>
      </c>
      <c r="S301" s="4">
        <f t="shared" si="271"/>
        <v>1.5678431297598061</v>
      </c>
      <c r="T301" s="4" t="str">
        <f t="shared" si="259"/>
        <v>1+0,849590923483432i</v>
      </c>
      <c r="U301" s="4">
        <f t="shared" si="272"/>
        <v>1.3121755741002921</v>
      </c>
      <c r="V301" s="4">
        <f t="shared" si="273"/>
        <v>0.70425652630062774</v>
      </c>
      <c r="W301" t="str">
        <f t="shared" si="260"/>
        <v>1-0,16904050812284i</v>
      </c>
      <c r="X301" s="4">
        <f t="shared" si="274"/>
        <v>1.0141867152484438</v>
      </c>
      <c r="Y301" s="4">
        <f t="shared" si="275"/>
        <v>-0.1674574681270049</v>
      </c>
      <c r="Z301" t="str">
        <f t="shared" si="261"/>
        <v>0,999817164724154+0,0232247986092433i</v>
      </c>
      <c r="AA301" s="4">
        <f t="shared" si="276"/>
        <v>1.0000868733002579</v>
      </c>
      <c r="AB301" s="4">
        <f t="shared" si="277"/>
        <v>2.3224869007883561E-2</v>
      </c>
      <c r="AC301" s="47" t="str">
        <f t="shared" si="278"/>
        <v>0,106026639631267-0,186679788174335i</v>
      </c>
      <c r="AD301" s="20">
        <f t="shared" si="279"/>
        <v>-13.36383948149409</v>
      </c>
      <c r="AE301" s="43">
        <f t="shared" si="280"/>
        <v>-60.405160767768656</v>
      </c>
      <c r="AF301" t="str">
        <f t="shared" si="262"/>
        <v>171,265703090588</v>
      </c>
      <c r="AG301" t="str">
        <f t="shared" si="263"/>
        <v>1+335,374542060842i</v>
      </c>
      <c r="AH301">
        <f t="shared" si="281"/>
        <v>335.3760329279948</v>
      </c>
      <c r="AI301">
        <f t="shared" si="282"/>
        <v>1.5678145946983637</v>
      </c>
      <c r="AJ301" t="str">
        <f t="shared" si="264"/>
        <v>1+0,849590923483432i</v>
      </c>
      <c r="AK301">
        <f t="shared" si="283"/>
        <v>1.3121755741002921</v>
      </c>
      <c r="AL301">
        <f t="shared" si="284"/>
        <v>0.70425652630062774</v>
      </c>
      <c r="AM301" t="str">
        <f t="shared" si="265"/>
        <v>1-0,0534057360652365i</v>
      </c>
      <c r="AN301">
        <f t="shared" si="285"/>
        <v>1.0014250709087873</v>
      </c>
      <c r="AO301">
        <f t="shared" si="286"/>
        <v>-5.335504865206387E-2</v>
      </c>
      <c r="AP301" s="41" t="str">
        <f t="shared" si="287"/>
        <v>0,408176001067805-0,532623524851738i</v>
      </c>
      <c r="AQ301">
        <f t="shared" si="288"/>
        <v>-3.4650242486697378</v>
      </c>
      <c r="AR301" s="43">
        <f t="shared" si="289"/>
        <v>-52.535251787138236</v>
      </c>
      <c r="AS301" t="str">
        <f t="shared" si="266"/>
        <v>-0,0000166666666666667</v>
      </c>
      <c r="AT301" t="str">
        <f t="shared" si="267"/>
        <v>0,0000646538692770892i</v>
      </c>
      <c r="AU301">
        <f t="shared" si="290"/>
        <v>6.46538692770892E-5</v>
      </c>
      <c r="AV301">
        <f t="shared" si="291"/>
        <v>1.5707963267948966</v>
      </c>
      <c r="AW301" t="str">
        <f t="shared" si="268"/>
        <v>1+0,202629109871541i</v>
      </c>
      <c r="AX301">
        <f t="shared" si="292"/>
        <v>1.0203227705816102</v>
      </c>
      <c r="AY301">
        <f t="shared" si="293"/>
        <v>0.19992226723287013</v>
      </c>
      <c r="AZ301" t="str">
        <f t="shared" si="269"/>
        <v>1+14,0182502374766i</v>
      </c>
      <c r="BA301">
        <f t="shared" si="294"/>
        <v>14.05387276591448</v>
      </c>
      <c r="BB301">
        <f t="shared" si="295"/>
        <v>1.4995813828119005</v>
      </c>
      <c r="BC301" s="41" t="str">
        <f t="shared" si="296"/>
        <v>-3,42097173410661+0,950971430817997i</v>
      </c>
      <c r="BD301">
        <f t="shared" si="297"/>
        <v>11.006253346254521</v>
      </c>
      <c r="BE301" s="43">
        <f t="shared" si="298"/>
        <v>164.46498212838367</v>
      </c>
      <c r="BF301" s="41" t="str">
        <f t="shared" si="299"/>
        <v>-0,185186991975924+0,73945458386838i</v>
      </c>
      <c r="BG301" s="20">
        <f t="shared" si="300"/>
        <v>-2.3575861352395622</v>
      </c>
      <c r="BH301" s="43">
        <f t="shared" si="301"/>
        <v>104.05982136061502</v>
      </c>
      <c r="BI301" s="41" t="str">
        <f t="shared" si="255"/>
        <v>-0,889848806678048+2,21025373919904i</v>
      </c>
      <c r="BJ301" s="20">
        <f t="shared" si="302"/>
        <v>7.5412290975847709</v>
      </c>
      <c r="BK301" s="43">
        <f t="shared" si="256"/>
        <v>111.92973034124549</v>
      </c>
      <c r="BL301">
        <f t="shared" si="303"/>
        <v>-2.3575861352395622</v>
      </c>
      <c r="BM301" s="43">
        <f t="shared" si="304"/>
        <v>104.05982136061502</v>
      </c>
    </row>
    <row r="302" spans="14:65" x14ac:dyDescent="0.25">
      <c r="N302" s="9">
        <v>84</v>
      </c>
      <c r="O302" s="34">
        <f t="shared" si="305"/>
        <v>6918.3097091893687</v>
      </c>
      <c r="P302" s="33" t="str">
        <f t="shared" si="257"/>
        <v>54,631621870174</v>
      </c>
      <c r="Q302" s="4" t="str">
        <f t="shared" si="258"/>
        <v>1+346,502453199105i</v>
      </c>
      <c r="R302" s="4">
        <f t="shared" si="270"/>
        <v>346.50389618732709</v>
      </c>
      <c r="S302" s="4">
        <f t="shared" si="271"/>
        <v>1.5679103523537834</v>
      </c>
      <c r="T302" s="4" t="str">
        <f t="shared" si="259"/>
        <v>1+0,86938043830593i</v>
      </c>
      <c r="U302" s="4">
        <f t="shared" si="272"/>
        <v>1.3250744682881075</v>
      </c>
      <c r="V302" s="4">
        <f t="shared" si="273"/>
        <v>0.71563836138035886</v>
      </c>
      <c r="W302" t="str">
        <f t="shared" si="260"/>
        <v>1-0,17297796737368i</v>
      </c>
      <c r="X302" s="4">
        <f t="shared" si="274"/>
        <v>1.0148504210950153</v>
      </c>
      <c r="Y302" s="4">
        <f t="shared" si="275"/>
        <v>-0.17128304715421241</v>
      </c>
      <c r="Z302" t="str">
        <f t="shared" si="261"/>
        <v>0,999808547963071+0,0237657736639705i</v>
      </c>
      <c r="AA302" s="4">
        <f t="shared" si="276"/>
        <v>1.0000909681513335</v>
      </c>
      <c r="AB302" s="4">
        <f t="shared" si="277"/>
        <v>2.3765849089261912E-2</v>
      </c>
      <c r="AC302" s="47" t="str">
        <f t="shared" si="278"/>
        <v>0,105978069434962-0,183611695574418i</v>
      </c>
      <c r="AD302" s="20">
        <f t="shared" si="279"/>
        <v>-13.473224228511206</v>
      </c>
      <c r="AE302" s="43">
        <f t="shared" si="280"/>
        <v>-60.007066633425218</v>
      </c>
      <c r="AF302" t="str">
        <f t="shared" si="262"/>
        <v>171,265703090588</v>
      </c>
      <c r="AG302" t="str">
        <f t="shared" si="263"/>
        <v>1+343,186418680227i</v>
      </c>
      <c r="AH302">
        <f t="shared" si="281"/>
        <v>343.187875611246</v>
      </c>
      <c r="AI302">
        <f t="shared" si="282"/>
        <v>1.5678824668185878</v>
      </c>
      <c r="AJ302" t="str">
        <f t="shared" si="264"/>
        <v>1+0,86938043830593i</v>
      </c>
      <c r="AK302">
        <f t="shared" si="283"/>
        <v>1.3250744682881075</v>
      </c>
      <c r="AL302">
        <f t="shared" si="284"/>
        <v>0.71563836138035886</v>
      </c>
      <c r="AM302" t="str">
        <f t="shared" si="265"/>
        <v>1-0,054649715463152i</v>
      </c>
      <c r="AN302">
        <f t="shared" si="285"/>
        <v>1.0014921823959504</v>
      </c>
      <c r="AO302">
        <f t="shared" si="286"/>
        <v>-5.4595407291035583E-2</v>
      </c>
      <c r="AP302" s="41" t="str">
        <f t="shared" si="287"/>
        <v>0,408107632842975-0,521566874274457i</v>
      </c>
      <c r="AQ302">
        <f t="shared" si="288"/>
        <v>-3.5794737003577626</v>
      </c>
      <c r="AR302" s="43">
        <f t="shared" si="289"/>
        <v>-51.958076775086994</v>
      </c>
      <c r="AS302" t="str">
        <f t="shared" si="266"/>
        <v>-0,0000166666666666667</v>
      </c>
      <c r="AT302" t="str">
        <f t="shared" si="267"/>
        <v>0,0000661598513550813i</v>
      </c>
      <c r="AU302">
        <f t="shared" si="290"/>
        <v>6.6159851355081296E-5</v>
      </c>
      <c r="AV302">
        <f t="shared" si="291"/>
        <v>1.5707963267948966</v>
      </c>
      <c r="AW302" t="str">
        <f t="shared" si="268"/>
        <v>1+0,207348948163635i</v>
      </c>
      <c r="AX302">
        <f t="shared" si="292"/>
        <v>1.0212705744828674</v>
      </c>
      <c r="AY302">
        <f t="shared" si="293"/>
        <v>0.204451766633993</v>
      </c>
      <c r="AZ302" t="str">
        <f t="shared" si="269"/>
        <v>1+14,3447772320478i</v>
      </c>
      <c r="BA302">
        <f t="shared" si="294"/>
        <v>14.379590878640355</v>
      </c>
      <c r="BB302">
        <f t="shared" si="295"/>
        <v>1.5011971423661963</v>
      </c>
      <c r="BC302" s="41" t="str">
        <f t="shared" si="296"/>
        <v>-3,41462492287876+0,959934002706739i</v>
      </c>
      <c r="BD302">
        <f t="shared" si="297"/>
        <v>10.997198795863405</v>
      </c>
      <c r="BE302" s="43">
        <f t="shared" si="298"/>
        <v>164.29803713256143</v>
      </c>
      <c r="BF302" s="41" t="str">
        <f t="shared" si="299"/>
        <v>-0,185620247294675+0,728697024232271i</v>
      </c>
      <c r="BG302" s="20">
        <f t="shared" si="300"/>
        <v>-2.4760254326478019</v>
      </c>
      <c r="BH302" s="43">
        <f t="shared" si="301"/>
        <v>104.29097049913625</v>
      </c>
      <c r="BI302" s="41" t="str">
        <f t="shared" si="255"/>
        <v>-0,892864717021155+2,17271164137566i</v>
      </c>
      <c r="BJ302" s="20">
        <f t="shared" si="302"/>
        <v>7.4177250955056326</v>
      </c>
      <c r="BK302" s="43">
        <f t="shared" si="256"/>
        <v>112.33996035747448</v>
      </c>
      <c r="BL302">
        <f t="shared" si="303"/>
        <v>-2.4760254326478019</v>
      </c>
      <c r="BM302" s="43">
        <f t="shared" si="304"/>
        <v>104.29097049913625</v>
      </c>
    </row>
    <row r="303" spans="14:65" x14ac:dyDescent="0.25">
      <c r="N303" s="9">
        <v>85</v>
      </c>
      <c r="O303" s="34">
        <f t="shared" si="305"/>
        <v>7079.4578438413828</v>
      </c>
      <c r="P303" s="33" t="str">
        <f t="shared" si="257"/>
        <v>54,631621870174</v>
      </c>
      <c r="Q303" s="4" t="str">
        <f t="shared" si="258"/>
        <v>1+354,573532166734i</v>
      </c>
      <c r="R303" s="4">
        <f t="shared" si="270"/>
        <v>354.57494230866621</v>
      </c>
      <c r="S303" s="4">
        <f t="shared" si="271"/>
        <v>1.5679760447999107</v>
      </c>
      <c r="T303" s="4" t="str">
        <f t="shared" si="259"/>
        <v>1+0,889630910144428i</v>
      </c>
      <c r="U303" s="4">
        <f t="shared" si="272"/>
        <v>1.3384480401884875</v>
      </c>
      <c r="V303" s="4">
        <f t="shared" si="273"/>
        <v>0.7270566964133407</v>
      </c>
      <c r="W303" t="str">
        <f t="shared" si="260"/>
        <v>1-0,177007141832455i</v>
      </c>
      <c r="X303" s="4">
        <f t="shared" si="274"/>
        <v>1.0155449415263191</v>
      </c>
      <c r="Y303" s="4">
        <f t="shared" si="275"/>
        <v>-0.17519250014228388</v>
      </c>
      <c r="Z303" t="str">
        <f t="shared" si="261"/>
        <v>0,999799525106549+0,0243193496464715i</v>
      </c>
      <c r="AA303" s="4">
        <f t="shared" si="276"/>
        <v>1.0000952560483967</v>
      </c>
      <c r="AB303" s="4">
        <f t="shared" si="277"/>
        <v>2.4319430456914912E-2</v>
      </c>
      <c r="AC303" s="47" t="str">
        <f t="shared" si="278"/>
        <v>0,105929182576238-0,180640911214548i</v>
      </c>
      <c r="AD303" s="20">
        <f t="shared" si="279"/>
        <v>-13.580093018857545</v>
      </c>
      <c r="AE303" s="43">
        <f t="shared" si="280"/>
        <v>-59.612321159282878</v>
      </c>
      <c r="AF303" t="str">
        <f t="shared" si="262"/>
        <v>171,265703090588</v>
      </c>
      <c r="AG303" t="str">
        <f t="shared" si="263"/>
        <v>1+351,180257281405i</v>
      </c>
      <c r="AH303">
        <f t="shared" si="281"/>
        <v>351.18168104876116</v>
      </c>
      <c r="AI303">
        <f t="shared" si="282"/>
        <v>1.567948794006677</v>
      </c>
      <c r="AJ303" t="str">
        <f t="shared" si="264"/>
        <v>1+0,889630910144428i</v>
      </c>
      <c r="AK303">
        <f t="shared" si="283"/>
        <v>1.3384480401884875</v>
      </c>
      <c r="AL303">
        <f t="shared" si="284"/>
        <v>0.7270566964133407</v>
      </c>
      <c r="AM303" t="str">
        <f t="shared" si="265"/>
        <v>1-0,0559226708635806i</v>
      </c>
      <c r="AN303">
        <f t="shared" si="285"/>
        <v>1.0015624519302411</v>
      </c>
      <c r="AO303">
        <f t="shared" si="286"/>
        <v>-5.5864483510570911E-2</v>
      </c>
      <c r="AP303" s="41" t="str">
        <f t="shared" si="287"/>
        <v>0,408042341644068-0,510786747420667i</v>
      </c>
      <c r="AQ303">
        <f t="shared" si="288"/>
        <v>-3.6916380158058226</v>
      </c>
      <c r="AR303" s="43">
        <f t="shared" si="289"/>
        <v>-51.380367347835076</v>
      </c>
      <c r="AS303" t="str">
        <f t="shared" si="266"/>
        <v>-0,0000166666666666667</v>
      </c>
      <c r="AT303" t="str">
        <f t="shared" si="267"/>
        <v>0,0000677009122619911i</v>
      </c>
      <c r="AU303">
        <f t="shared" si="290"/>
        <v>6.7700912261991106E-5</v>
      </c>
      <c r="AV303">
        <f t="shared" si="291"/>
        <v>1.5707963267948966</v>
      </c>
      <c r="AW303" t="str">
        <f t="shared" si="268"/>
        <v>1+0,212178725612633i</v>
      </c>
      <c r="AX303">
        <f t="shared" si="292"/>
        <v>1.0222621051386973</v>
      </c>
      <c r="AY303">
        <f t="shared" si="293"/>
        <v>0.20907797923939395</v>
      </c>
      <c r="AZ303" t="str">
        <f t="shared" si="269"/>
        <v>1+14,6789100173831i</v>
      </c>
      <c r="BA303">
        <f t="shared" si="294"/>
        <v>14.712933062392075</v>
      </c>
      <c r="BB303">
        <f t="shared" si="295"/>
        <v>1.5027764745390093</v>
      </c>
      <c r="BC303" s="41" t="str">
        <f t="shared" si="296"/>
        <v>-3,40800418772599+0,969286813872239i</v>
      </c>
      <c r="BD303">
        <f t="shared" si="297"/>
        <v>10.987824519590175</v>
      </c>
      <c r="BE303" s="43">
        <f t="shared" si="298"/>
        <v>164.12346374309311</v>
      </c>
      <c r="BF303" s="41" t="str">
        <f t="shared" si="299"/>
        <v>-0,185914244536083+0,718300741769231i</v>
      </c>
      <c r="BG303" s="20">
        <f t="shared" si="300"/>
        <v>-2.5922684992673677</v>
      </c>
      <c r="BH303" s="43">
        <f t="shared" si="301"/>
        <v>104.51114258381024</v>
      </c>
      <c r="BI303" s="41" t="str">
        <f t="shared" si="255"/>
        <v>-0,89551115011696+2,13627343550172i</v>
      </c>
      <c r="BJ303" s="20">
        <f t="shared" si="302"/>
        <v>7.2961865037843605</v>
      </c>
      <c r="BK303" s="43">
        <f t="shared" si="256"/>
        <v>112.74309639525799</v>
      </c>
      <c r="BL303">
        <f t="shared" si="303"/>
        <v>-2.5922684992673677</v>
      </c>
      <c r="BM303" s="43">
        <f t="shared" si="304"/>
        <v>104.51114258381024</v>
      </c>
    </row>
    <row r="304" spans="14:65" x14ac:dyDescent="0.25">
      <c r="N304" s="9">
        <v>86</v>
      </c>
      <c r="O304" s="34">
        <f t="shared" si="305"/>
        <v>7244.3596007499036</v>
      </c>
      <c r="P304" s="33" t="str">
        <f t="shared" si="257"/>
        <v>54,631621870174</v>
      </c>
      <c r="Q304" s="4" t="str">
        <f t="shared" si="258"/>
        <v>1+362,832610714454i</v>
      </c>
      <c r="R304" s="4">
        <f t="shared" si="270"/>
        <v>362.83398875776032</v>
      </c>
      <c r="S304" s="4">
        <f t="shared" si="271"/>
        <v>1.568040241926923</v>
      </c>
      <c r="T304" s="4" t="str">
        <f t="shared" si="259"/>
        <v>1+0,910353076067144i</v>
      </c>
      <c r="U304" s="4">
        <f t="shared" si="272"/>
        <v>1.3523101430903013</v>
      </c>
      <c r="V304" s="4">
        <f t="shared" si="273"/>
        <v>0.73850567684329649</v>
      </c>
      <c r="W304" t="str">
        <f t="shared" si="260"/>
        <v>1-0,181130167820797i</v>
      </c>
      <c r="X304" s="4">
        <f t="shared" si="274"/>
        <v>1.0162716849813294</v>
      </c>
      <c r="Y304" s="4">
        <f t="shared" si="275"/>
        <v>-0.17918742168579524</v>
      </c>
      <c r="Z304" t="str">
        <f t="shared" si="261"/>
        <v>0,9997900770159+0,0248858200700598i</v>
      </c>
      <c r="AA304" s="4">
        <f t="shared" si="276"/>
        <v>1.0000997460953673</v>
      </c>
      <c r="AB304" s="4">
        <f t="shared" si="277"/>
        <v>2.4885906649673578E-2</v>
      </c>
      <c r="AC304" s="47" t="str">
        <f t="shared" si="278"/>
        <v>0,105879875426734-0,177765857488615i</v>
      </c>
      <c r="AD304" s="20">
        <f t="shared" si="279"/>
        <v>-13.684421106620961</v>
      </c>
      <c r="AE304" s="43">
        <f t="shared" si="280"/>
        <v>-59.221369964321916</v>
      </c>
      <c r="AF304" t="str">
        <f t="shared" si="262"/>
        <v>171,265703090588</v>
      </c>
      <c r="AG304" t="str">
        <f t="shared" si="263"/>
        <v>1+359,360296303414i</v>
      </c>
      <c r="AH304">
        <f t="shared" si="281"/>
        <v>359.36168766199535</v>
      </c>
      <c r="AI304">
        <f t="shared" si="282"/>
        <v>1.5680136114278487</v>
      </c>
      <c r="AJ304" t="str">
        <f t="shared" si="264"/>
        <v>1+0,910353076067144i</v>
      </c>
      <c r="AK304">
        <f t="shared" si="283"/>
        <v>1.3523101430903013</v>
      </c>
      <c r="AL304">
        <f t="shared" si="284"/>
        <v>0.73850567684329649</v>
      </c>
      <c r="AM304" t="str">
        <f t="shared" si="265"/>
        <v>1-0,0572252772043252i</v>
      </c>
      <c r="AN304">
        <f t="shared" si="285"/>
        <v>1.0016360278819407</v>
      </c>
      <c r="AO304">
        <f t="shared" si="286"/>
        <v>-5.7162933831086782E-2</v>
      </c>
      <c r="AP304" s="41" t="str">
        <f t="shared" si="287"/>
        <v>0,407979988986598-0,500277429721616i</v>
      </c>
      <c r="AQ304">
        <f t="shared" si="288"/>
        <v>-3.8015025912854883</v>
      </c>
      <c r="AR304" s="43">
        <f t="shared" si="289"/>
        <v>-50.802498577415719</v>
      </c>
      <c r="AS304" t="str">
        <f t="shared" si="266"/>
        <v>-0,0000166666666666667</v>
      </c>
      <c r="AT304" t="str">
        <f t="shared" si="267"/>
        <v>0,0000692778690887096i</v>
      </c>
      <c r="AU304">
        <f t="shared" si="290"/>
        <v>6.9277869088709603E-5</v>
      </c>
      <c r="AV304">
        <f t="shared" si="291"/>
        <v>1.5707963267948966</v>
      </c>
      <c r="AW304" t="str">
        <f t="shared" si="268"/>
        <v>1+0,217121003030469i</v>
      </c>
      <c r="AX304">
        <f t="shared" si="292"/>
        <v>1.0232993354619933</v>
      </c>
      <c r="AY304">
        <f t="shared" si="293"/>
        <v>0.21380256548220244</v>
      </c>
      <c r="AZ304" t="str">
        <f t="shared" si="269"/>
        <v>1+15,0208257551079i</v>
      </c>
      <c r="BA304">
        <f t="shared" si="294"/>
        <v>15.054076071460276</v>
      </c>
      <c r="BB304">
        <f t="shared" si="295"/>
        <v>1.5043201851809489</v>
      </c>
      <c r="BC304" s="41" t="str">
        <f t="shared" si="296"/>
        <v>-3,40109888903431+0,979027070828315i</v>
      </c>
      <c r="BD304">
        <f t="shared" si="297"/>
        <v>10.978112860341106</v>
      </c>
      <c r="BE304" s="43">
        <f t="shared" si="298"/>
        <v>163.94121299600718</v>
      </c>
      <c r="BF304" s="41" t="str">
        <f t="shared" si="299"/>
        <v>-0,186070339934594+0,708258524711462i</v>
      </c>
      <c r="BG304" s="20">
        <f t="shared" si="300"/>
        <v>-2.7063082462798551</v>
      </c>
      <c r="BH304" s="43">
        <f t="shared" si="301"/>
        <v>104.7198430316853</v>
      </c>
      <c r="BI304" s="41" t="str">
        <f t="shared" si="255"/>
        <v>-0,897795140668677+2,10091646400925i</v>
      </c>
      <c r="BJ304" s="20">
        <f t="shared" si="302"/>
        <v>7.1766102690556348</v>
      </c>
      <c r="BK304" s="43">
        <f t="shared" si="256"/>
        <v>113.13871441859143</v>
      </c>
      <c r="BL304">
        <f t="shared" si="303"/>
        <v>-2.7063082462798551</v>
      </c>
      <c r="BM304" s="43">
        <f t="shared" si="304"/>
        <v>104.7198430316853</v>
      </c>
    </row>
    <row r="305" spans="14:65" x14ac:dyDescent="0.25">
      <c r="N305" s="9">
        <v>87</v>
      </c>
      <c r="O305" s="34">
        <f t="shared" si="305"/>
        <v>7413.1024130091773</v>
      </c>
      <c r="P305" s="33" t="str">
        <f t="shared" si="257"/>
        <v>54,631621870174</v>
      </c>
      <c r="Q305" s="4" t="str">
        <f t="shared" si="258"/>
        <v>1+371,284067915032i</v>
      </c>
      <c r="R305" s="4">
        <f t="shared" si="270"/>
        <v>371.28541459035813</v>
      </c>
      <c r="S305" s="4">
        <f t="shared" si="271"/>
        <v>1.5681029777708693</v>
      </c>
      <c r="T305" s="4" t="str">
        <f t="shared" si="259"/>
        <v>1+0,931557923240736i</v>
      </c>
      <c r="U305" s="4">
        <f t="shared" si="272"/>
        <v>1.3666748568524238</v>
      </c>
      <c r="V305" s="4">
        <f t="shared" si="273"/>
        <v>0.74997936826251321</v>
      </c>
      <c r="W305" t="str">
        <f t="shared" si="260"/>
        <v>1-0,185349231421659i</v>
      </c>
      <c r="X305" s="4">
        <f t="shared" si="274"/>
        <v>1.0170321222009655</v>
      </c>
      <c r="Y305" s="4">
        <f t="shared" si="275"/>
        <v>-0.18326941964038868</v>
      </c>
      <c r="Z305" t="str">
        <f t="shared" si="261"/>
        <v>0,999780183650457+0,0254654852848519i</v>
      </c>
      <c r="AA305" s="4">
        <f t="shared" si="276"/>
        <v>1.000104447825793</v>
      </c>
      <c r="AB305" s="4">
        <f t="shared" si="277"/>
        <v>2.5465578044982003E-2</v>
      </c>
      <c r="AC305" s="47" t="str">
        <f t="shared" si="278"/>
        <v>0,105830043472689-0,174985007321177i</v>
      </c>
      <c r="AD305" s="20">
        <f t="shared" si="279"/>
        <v>-13.786185585106562</v>
      </c>
      <c r="AE305" s="43">
        <f t="shared" si="280"/>
        <v>-58.834664348882484</v>
      </c>
      <c r="AF305" t="str">
        <f t="shared" si="262"/>
        <v>171,265703090588</v>
      </c>
      <c r="AG305" t="str">
        <f t="shared" si="263"/>
        <v>1+367,730872911219i</v>
      </c>
      <c r="AH305">
        <f t="shared" si="281"/>
        <v>367.73223259873089</v>
      </c>
      <c r="AI305">
        <f t="shared" si="282"/>
        <v>1.5680769534469778</v>
      </c>
      <c r="AJ305" t="str">
        <f t="shared" si="264"/>
        <v>1+0,931557923240736i</v>
      </c>
      <c r="AK305">
        <f t="shared" si="283"/>
        <v>1.3666748568524238</v>
      </c>
      <c r="AL305">
        <f t="shared" si="284"/>
        <v>0.74997936826251321</v>
      </c>
      <c r="AM305" t="str">
        <f t="shared" si="265"/>
        <v>1-0,0585582251445095i</v>
      </c>
      <c r="AN305">
        <f t="shared" si="285"/>
        <v>1.0017130655692152</v>
      </c>
      <c r="AO305">
        <f t="shared" si="286"/>
        <v>-5.8491429184996425E-2</v>
      </c>
      <c r="AP305" s="41" t="str">
        <f t="shared" si="287"/>
        <v>0,407920442618512-0,490033350115249i</v>
      </c>
      <c r="AQ305">
        <f t="shared" si="288"/>
        <v>-3.9090550726951525</v>
      </c>
      <c r="AR305" s="43">
        <f t="shared" si="289"/>
        <v>-50.224850890902822</v>
      </c>
      <c r="AS305" t="str">
        <f t="shared" si="266"/>
        <v>-0,0000166666666666667</v>
      </c>
      <c r="AT305" t="str">
        <f t="shared" si="267"/>
        <v>0,00007089155795862i</v>
      </c>
      <c r="AU305">
        <f t="shared" si="290"/>
        <v>7.0891557958620004E-5</v>
      </c>
      <c r="AV305">
        <f t="shared" si="291"/>
        <v>1.5707963267948966</v>
      </c>
      <c r="AW305" t="str">
        <f t="shared" si="268"/>
        <v>1+0,222178400878047i</v>
      </c>
      <c r="AX305">
        <f t="shared" si="292"/>
        <v>1.024384323297036</v>
      </c>
      <c r="AY305">
        <f t="shared" si="293"/>
        <v>0.21862718632317252</v>
      </c>
      <c r="AZ305" t="str">
        <f t="shared" si="269"/>
        <v>1+15,3707057334721i</v>
      </c>
      <c r="BA305">
        <f t="shared" si="294"/>
        <v>15.403200795451319</v>
      </c>
      <c r="BB305">
        <f t="shared" si="295"/>
        <v>1.5058290633414491</v>
      </c>
      <c r="BC305" s="41" t="str">
        <f t="shared" si="296"/>
        <v>-3,39389808245282+0,989151714681365i</v>
      </c>
      <c r="BD305">
        <f t="shared" si="297"/>
        <v>10.968045642336717</v>
      </c>
      <c r="BE305" s="43">
        <f t="shared" si="298"/>
        <v>163.75123493446483</v>
      </c>
      <c r="BF305" s="41" t="str">
        <f t="shared" si="299"/>
        <v>-0,186089661572584+0,698563249771149i</v>
      </c>
      <c r="BG305" s="20">
        <f t="shared" si="300"/>
        <v>-2.8181399427698448</v>
      </c>
      <c r="BH305" s="43">
        <f t="shared" si="301"/>
        <v>104.91657058558232</v>
      </c>
      <c r="BI305" s="41" t="str">
        <f t="shared" si="255"/>
        <v>-0,899723079478721+2,06661845256376i</v>
      </c>
      <c r="BJ305" s="20">
        <f t="shared" si="302"/>
        <v>7.05899056964157</v>
      </c>
      <c r="BK305" s="43">
        <f t="shared" si="256"/>
        <v>113.52638404356198</v>
      </c>
      <c r="BL305">
        <f t="shared" si="303"/>
        <v>-2.8181399427698448</v>
      </c>
      <c r="BM305" s="43">
        <f t="shared" si="304"/>
        <v>104.91657058558232</v>
      </c>
    </row>
    <row r="306" spans="14:65" x14ac:dyDescent="0.25">
      <c r="N306" s="9">
        <v>88</v>
      </c>
      <c r="O306" s="34">
        <f t="shared" si="305"/>
        <v>7585.7757502918394</v>
      </c>
      <c r="P306" s="33" t="str">
        <f t="shared" si="257"/>
        <v>54,631621870174</v>
      </c>
      <c r="Q306" s="4" t="str">
        <f t="shared" si="258"/>
        <v>1+379,932384842943i</v>
      </c>
      <c r="R306" s="4">
        <f t="shared" si="270"/>
        <v>379.9337008643036</v>
      </c>
      <c r="S306" s="4">
        <f t="shared" si="271"/>
        <v>1.5681642855931479</v>
      </c>
      <c r="T306" s="4" t="str">
        <f t="shared" si="259"/>
        <v>1+0,953256694755858i</v>
      </c>
      <c r="U306" s="4">
        <f t="shared" si="272"/>
        <v>1.3815564867557399</v>
      </c>
      <c r="V306" s="4">
        <f t="shared" si="273"/>
        <v>0.76147177149968881</v>
      </c>
      <c r="W306" t="str">
        <f t="shared" si="260"/>
        <v>1-0,189666569638407i</v>
      </c>
      <c r="X306" s="4">
        <f t="shared" si="274"/>
        <v>1.0178277887925837</v>
      </c>
      <c r="Y306" s="4">
        <f t="shared" si="275"/>
        <v>-0.18744011393107773</v>
      </c>
      <c r="Z306" t="str">
        <f t="shared" si="261"/>
        <v>0,999769824025065+0,0260586526370176i</v>
      </c>
      <c r="AA306" s="4">
        <f t="shared" si="276"/>
        <v>1.0001093712231508</v>
      </c>
      <c r="AB306" s="4">
        <f t="shared" si="277"/>
        <v>2.6058752018275334E-2</v>
      </c>
      <c r="AC306" s="47" t="str">
        <f t="shared" si="278"/>
        <v>0,105779581093879-0,172296883344981i</v>
      </c>
      <c r="AD306" s="20">
        <f t="shared" si="279"/>
        <v>-13.885365416656864</v>
      </c>
      <c r="AE306" s="43">
        <f t="shared" si="280"/>
        <v>-58.452660372080167</v>
      </c>
      <c r="AF306" t="str">
        <f t="shared" si="262"/>
        <v>171,265703090588</v>
      </c>
      <c r="AG306" t="str">
        <f t="shared" si="263"/>
        <v>1+376,296425295335i</v>
      </c>
      <c r="AH306">
        <f t="shared" si="281"/>
        <v>376.29775403269099</v>
      </c>
      <c r="AI306">
        <f t="shared" si="282"/>
        <v>1.5681388536468073</v>
      </c>
      <c r="AJ306" t="str">
        <f t="shared" si="264"/>
        <v>1+0,953256694755858i</v>
      </c>
      <c r="AK306">
        <f t="shared" si="283"/>
        <v>1.3815564867557399</v>
      </c>
      <c r="AL306">
        <f t="shared" si="284"/>
        <v>0.76147177149968881</v>
      </c>
      <c r="AM306" t="str">
        <f t="shared" si="265"/>
        <v>1-0,0599222214307753i</v>
      </c>
      <c r="AN306">
        <f t="shared" si="285"/>
        <v>1.0017937275812816</v>
      </c>
      <c r="AO306">
        <f t="shared" si="286"/>
        <v>-5.9850655190220432E-2</v>
      </c>
      <c r="AP306" s="41" t="str">
        <f t="shared" si="287"/>
        <v>0,407863576239719-0,480049078097681i</v>
      </c>
      <c r="AQ306">
        <f t="shared" si="288"/>
        <v>-4.0142853986854155</v>
      </c>
      <c r="AR306" s="43">
        <f t="shared" si="289"/>
        <v>-49.647809222655276</v>
      </c>
      <c r="AS306" t="str">
        <f t="shared" si="266"/>
        <v>-0,0000166666666666667</v>
      </c>
      <c r="AT306" t="str">
        <f t="shared" si="267"/>
        <v>0,0000725428344709208i</v>
      </c>
      <c r="AU306">
        <f t="shared" si="290"/>
        <v>7.25428344709208E-5</v>
      </c>
      <c r="AV306">
        <f t="shared" si="291"/>
        <v>1.5707963267948966</v>
      </c>
      <c r="AW306" t="str">
        <f t="shared" si="268"/>
        <v>1+0,227353600654649i</v>
      </c>
      <c r="AX306">
        <f t="shared" si="292"/>
        <v>1.0255192147057186</v>
      </c>
      <c r="AY306">
        <f t="shared" si="293"/>
        <v>0.22355350100834656</v>
      </c>
      <c r="AZ306" t="str">
        <f t="shared" si="269"/>
        <v>1+15,7287354634717i</v>
      </c>
      <c r="BA306">
        <f t="shared" si="294"/>
        <v>15.760492355249323</v>
      </c>
      <c r="BB306">
        <f t="shared" si="295"/>
        <v>1.5073038815499449</v>
      </c>
      <c r="BC306" s="41" t="str">
        <f t="shared" si="296"/>
        <v>-3,38639052047966+0,999657394967369i</v>
      </c>
      <c r="BD306">
        <f t="shared" si="297"/>
        <v>10.957604150246244</v>
      </c>
      <c r="BE306" s="43">
        <f t="shared" si="298"/>
        <v>163.55347875334695</v>
      </c>
      <c r="BF306" s="41" t="str">
        <f t="shared" si="299"/>
        <v>-0,185973117110981+0,68920787294468i</v>
      </c>
      <c r="BG306" s="20">
        <f t="shared" si="300"/>
        <v>-2.9277612664106183</v>
      </c>
      <c r="BH306" s="43">
        <f t="shared" si="301"/>
        <v>105.10081838126679</v>
      </c>
      <c r="BI306" s="41" t="str">
        <f t="shared" ref="BI306:BI369" si="306">IMPRODUCT(AP306,BC306)</f>
        <v>-0,901300737359502+2,03335748756086i</v>
      </c>
      <c r="BJ306" s="20">
        <f t="shared" si="302"/>
        <v>6.9433187515608292</v>
      </c>
      <c r="BK306" s="43">
        <f t="shared" ref="BK306:BK369" si="307">(180/PI())*IMARGUMENT(BI306)</f>
        <v>113.90566953069167</v>
      </c>
      <c r="BL306">
        <f t="shared" si="303"/>
        <v>-2.9277612664106183</v>
      </c>
      <c r="BM306" s="43">
        <f t="shared" si="304"/>
        <v>105.10081838126679</v>
      </c>
    </row>
    <row r="307" spans="14:65" x14ac:dyDescent="0.25">
      <c r="N307" s="9">
        <v>89</v>
      </c>
      <c r="O307" s="34">
        <f t="shared" si="305"/>
        <v>7762.4711662869322</v>
      </c>
      <c r="P307" s="33" t="str">
        <f t="shared" si="257"/>
        <v>54,631621870174</v>
      </c>
      <c r="Q307" s="4" t="str">
        <f t="shared" si="258"/>
        <v>1+388,782146950299i</v>
      </c>
      <c r="R307" s="4">
        <f t="shared" si="270"/>
        <v>388.78343301545641</v>
      </c>
      <c r="S307" s="4">
        <f t="shared" si="271"/>
        <v>1.5682241978981331</v>
      </c>
      <c r="T307" s="4" t="str">
        <f t="shared" si="259"/>
        <v>1+0,975460895588384i</v>
      </c>
      <c r="U307" s="4">
        <f t="shared" si="272"/>
        <v>1.3969695625968708</v>
      </c>
      <c r="V307" s="4">
        <f t="shared" si="273"/>
        <v>0.77297683811946316</v>
      </c>
      <c r="W307" t="str">
        <f t="shared" si="260"/>
        <v>1-0,194084471580912i</v>
      </c>
      <c r="X307" s="4">
        <f t="shared" si="274"/>
        <v>1.0186602878824922</v>
      </c>
      <c r="Y307" s="4">
        <f t="shared" si="275"/>
        <v>-0.19170113524876845</v>
      </c>
      <c r="Z307" t="str">
        <f t="shared" si="261"/>
        <v>0,99975897616557+0,0266656366317385i</v>
      </c>
      <c r="AA307" s="4">
        <f t="shared" si="276"/>
        <v>1.000114526742115</v>
      </c>
      <c r="AB307" s="4">
        <f t="shared" si="277"/>
        <v>2.6665743106074755E-2</v>
      </c>
      <c r="AC307" s="47" t="str">
        <f t="shared" si="278"/>
        <v>0,105728381340261-0,1697000571037i</v>
      </c>
      <c r="AD307" s="20">
        <f t="shared" si="279"/>
        <v>-13.981941452662722</v>
      </c>
      <c r="AE307" s="43">
        <f t="shared" si="280"/>
        <v>-58.075817899418716</v>
      </c>
      <c r="AF307" t="str">
        <f t="shared" si="262"/>
        <v>171,265703090588</v>
      </c>
      <c r="AG307" t="str">
        <f t="shared" si="263"/>
        <v>1+385,061495025015i</v>
      </c>
      <c r="AH307">
        <f t="shared" si="281"/>
        <v>385.06279351671941</v>
      </c>
      <c r="AI307">
        <f t="shared" si="282"/>
        <v>1.5681993448457434</v>
      </c>
      <c r="AJ307" t="str">
        <f t="shared" si="264"/>
        <v>1+0,975460895588384i</v>
      </c>
      <c r="AK307">
        <f t="shared" si="283"/>
        <v>1.3969695625968708</v>
      </c>
      <c r="AL307">
        <f t="shared" si="284"/>
        <v>0.77297683811946316</v>
      </c>
      <c r="AM307" t="str">
        <f t="shared" si="265"/>
        <v>1-0,061317989272008i</v>
      </c>
      <c r="AN307">
        <f t="shared" si="285"/>
        <v>1.0018781841163935</v>
      </c>
      <c r="AO307">
        <f t="shared" si="286"/>
        <v>-6.1241312425712825E-2</v>
      </c>
      <c r="AP307" s="41" t="str">
        <f t="shared" si="287"/>
        <v>0,407809269234244-0,470319320848852i</v>
      </c>
      <c r="AQ307">
        <f t="shared" si="288"/>
        <v>-4.1171858340871035</v>
      </c>
      <c r="AR307" s="43">
        <f t="shared" si="289"/>
        <v>-49.071762143064895</v>
      </c>
      <c r="AS307" t="str">
        <f t="shared" si="266"/>
        <v>-0,0000166666666666667</v>
      </c>
      <c r="AT307" t="str">
        <f t="shared" si="267"/>
        <v>0,0000742325741542761i</v>
      </c>
      <c r="AU307">
        <f t="shared" si="290"/>
        <v>7.4232574154276101E-5</v>
      </c>
      <c r="AV307">
        <f t="shared" si="291"/>
        <v>1.5707963267948966</v>
      </c>
      <c r="AW307" t="str">
        <f t="shared" si="268"/>
        <v>1+0,2326493463197i</v>
      </c>
      <c r="AX307">
        <f t="shared" si="292"/>
        <v>1.0267062473477913</v>
      </c>
      <c r="AY307">
        <f t="shared" si="293"/>
        <v>0.2285831646645011</v>
      </c>
      <c r="AZ307" t="str">
        <f t="shared" si="269"/>
        <v>1+16,0951047772083i</v>
      </c>
      <c r="BA307">
        <f t="shared" si="294"/>
        <v>16.126140201217197</v>
      </c>
      <c r="BB307">
        <f t="shared" si="295"/>
        <v>1.5087453960972221</v>
      </c>
      <c r="BC307" s="41" t="str">
        <f t="shared" si="296"/>
        <v>-3,37856465526389+1,01054044252308i</v>
      </c>
      <c r="BD307">
        <f t="shared" si="297"/>
        <v>10.946769108602259</v>
      </c>
      <c r="BE307" s="43">
        <f t="shared" si="298"/>
        <v>163.34789295314462</v>
      </c>
      <c r="BF307" s="41" t="str">
        <f t="shared" si="299"/>
        <v>-0,185721401452703+0,680185420193661i</v>
      </c>
      <c r="BG307" s="20">
        <f t="shared" si="300"/>
        <v>-3.035172344060463</v>
      </c>
      <c r="BH307" s="43">
        <f t="shared" si="301"/>
        <v>105.2720750537259</v>
      </c>
      <c r="BI307" s="41" t="str">
        <f t="shared" si="306"/>
        <v>-0,902533288506059+2,00111199350464i</v>
      </c>
      <c r="BJ307" s="20">
        <f t="shared" si="302"/>
        <v>6.8295832745151728</v>
      </c>
      <c r="BK307" s="43">
        <f t="shared" si="307"/>
        <v>114.27613081007968</v>
      </c>
      <c r="BL307">
        <f t="shared" si="303"/>
        <v>-3.035172344060463</v>
      </c>
      <c r="BM307" s="43">
        <f t="shared" si="304"/>
        <v>105.2720750537259</v>
      </c>
    </row>
    <row r="308" spans="14:65" x14ac:dyDescent="0.25">
      <c r="N308" s="9">
        <v>90</v>
      </c>
      <c r="O308" s="34">
        <f t="shared" si="305"/>
        <v>7943.2823472428154</v>
      </c>
      <c r="P308" s="33" t="str">
        <f t="shared" si="257"/>
        <v>54,631621870174</v>
      </c>
      <c r="Q308" s="4" t="str">
        <f t="shared" si="258"/>
        <v>1+397,838046498107i</v>
      </c>
      <c r="R308" s="4">
        <f t="shared" si="270"/>
        <v>397.83930328894098</v>
      </c>
      <c r="S308" s="4">
        <f t="shared" si="271"/>
        <v>1.5682827464504006</v>
      </c>
      <c r="T308" s="4" t="str">
        <f t="shared" si="259"/>
        <v>1+0,9981822986995i</v>
      </c>
      <c r="U308" s="4">
        <f t="shared" si="272"/>
        <v>1.4129288380654625</v>
      </c>
      <c r="V308" s="4">
        <f t="shared" si="273"/>
        <v>0.7844884862372149</v>
      </c>
      <c r="W308" t="str">
        <f t="shared" si="260"/>
        <v>1-0,19860527967926i</v>
      </c>
      <c r="X308" s="4">
        <f t="shared" si="274"/>
        <v>1.0195312928578883</v>
      </c>
      <c r="Y308" s="4">
        <f t="shared" si="275"/>
        <v>-0.19605412362888638</v>
      </c>
      <c r="Z308" t="str">
        <f t="shared" si="261"/>
        <v>0,999747617062208+0,027286759099963i</v>
      </c>
      <c r="AA308" s="4">
        <f t="shared" si="276"/>
        <v>1.0001199253308291</v>
      </c>
      <c r="AB308" s="4">
        <f t="shared" si="277"/>
        <v>2.7286873172888571E-2</v>
      </c>
      <c r="AC308" s="47" t="str">
        <f t="shared" si="278"/>
        <v>0,105676335705861-0,167193148279397i</v>
      </c>
      <c r="AD308" s="20">
        <f t="shared" si="279"/>
        <v>-14.075896443473345</v>
      </c>
      <c r="AE308" s="43">
        <f t="shared" si="280"/>
        <v>-57.704599625780801</v>
      </c>
      <c r="AF308" t="str">
        <f t="shared" si="262"/>
        <v>171,265703090588</v>
      </c>
      <c r="AG308" t="str">
        <f t="shared" si="263"/>
        <v>1+394,030729456247i</v>
      </c>
      <c r="AH308">
        <f t="shared" si="281"/>
        <v>394.03199839076791</v>
      </c>
      <c r="AI308">
        <f t="shared" si="282"/>
        <v>1.5682584591152491</v>
      </c>
      <c r="AJ308" t="str">
        <f t="shared" si="264"/>
        <v>1+0,9981822986995i</v>
      </c>
      <c r="AK308">
        <f t="shared" si="283"/>
        <v>1.4129288380654625</v>
      </c>
      <c r="AL308">
        <f t="shared" si="284"/>
        <v>0.7844884862372149</v>
      </c>
      <c r="AM308" t="str">
        <f t="shared" si="265"/>
        <v>1-0,0627462687227921i</v>
      </c>
      <c r="AN308">
        <f t="shared" si="285"/>
        <v>1.0019666133353111</v>
      </c>
      <c r="AO308">
        <f t="shared" si="286"/>
        <v>-6.2664116708752146E-2</v>
      </c>
      <c r="AP308" s="41" t="str">
        <f t="shared" si="287"/>
        <v>0,407757406414416-0,460838920430861i</v>
      </c>
      <c r="AQ308">
        <f t="shared" si="288"/>
        <v>-4.217750993315331</v>
      </c>
      <c r="AR308" s="43">
        <f t="shared" si="289"/>
        <v>-48.49710096932111</v>
      </c>
      <c r="AS308" t="str">
        <f t="shared" si="266"/>
        <v>-0,0000166666666666667</v>
      </c>
      <c r="AT308" t="str">
        <f t="shared" si="267"/>
        <v>0,000075961672931032i</v>
      </c>
      <c r="AU308">
        <f t="shared" si="290"/>
        <v>7.5961672931031997E-5</v>
      </c>
      <c r="AV308">
        <f t="shared" si="291"/>
        <v>1.5707963267948966</v>
      </c>
      <c r="AW308" t="str">
        <f t="shared" si="268"/>
        <v>1+0,238068445747647i</v>
      </c>
      <c r="AX308">
        <f t="shared" si="292"/>
        <v>1.0279477539547914</v>
      </c>
      <c r="AY308">
        <f t="shared" si="293"/>
        <v>0.23371782572595262</v>
      </c>
      <c r="AZ308" t="str">
        <f t="shared" si="269"/>
        <v>1+16,4700079285418i</v>
      </c>
      <c r="BA308">
        <f t="shared" si="294"/>
        <v>16.50033821369216</v>
      </c>
      <c r="BB308">
        <f t="shared" si="295"/>
        <v>1.5101543473165335</v>
      </c>
      <c r="BC308" s="41" t="str">
        <f t="shared" si="296"/>
        <v>-3,37040864274266+1,02179684140811i</v>
      </c>
      <c r="BD308">
        <f t="shared" si="297"/>
        <v>10.93552066156396</v>
      </c>
      <c r="BE308" s="43">
        <f t="shared" si="298"/>
        <v>163.13442550349967</v>
      </c>
      <c r="BF308" s="41" t="str">
        <f t="shared" si="299"/>
        <v>-0,185335004379443+0,671488978004066i</v>
      </c>
      <c r="BG308" s="20">
        <f t="shared" si="300"/>
        <v>-3.1403757819093898</v>
      </c>
      <c r="BH308" s="43">
        <f t="shared" si="301"/>
        <v>105.42982587771887</v>
      </c>
      <c r="BI308" s="41" t="str">
        <f t="shared" si="306"/>
        <v>-0,903425333427302+1,96986071026738i</v>
      </c>
      <c r="BJ308" s="20">
        <f t="shared" si="302"/>
        <v>6.7177696682486152</v>
      </c>
      <c r="BK308" s="43">
        <f t="shared" si="307"/>
        <v>114.63732453417863</v>
      </c>
      <c r="BL308">
        <f t="shared" si="303"/>
        <v>-3.1403757819093898</v>
      </c>
      <c r="BM308" s="43">
        <f t="shared" si="304"/>
        <v>105.42982587771887</v>
      </c>
    </row>
    <row r="309" spans="14:65" x14ac:dyDescent="0.25">
      <c r="N309" s="9">
        <v>91</v>
      </c>
      <c r="O309" s="34">
        <f t="shared" si="305"/>
        <v>8128.3051616410066</v>
      </c>
      <c r="P309" s="33" t="str">
        <f t="shared" si="257"/>
        <v>54,631621870174</v>
      </c>
      <c r="Q309" s="4" t="str">
        <f t="shared" si="258"/>
        <v>1+407,104885044179i</v>
      </c>
      <c r="R309" s="4">
        <f t="shared" si="270"/>
        <v>407.10611322704818</v>
      </c>
      <c r="S309" s="4">
        <f t="shared" si="271"/>
        <v>1.568339962291561</v>
      </c>
      <c r="T309" s="4" t="str">
        <f t="shared" si="259"/>
        <v>1+1,0214329512779i</v>
      </c>
      <c r="U309" s="4">
        <f t="shared" si="272"/>
        <v>1.4294492904458977</v>
      </c>
      <c r="V309" s="4">
        <f t="shared" si="273"/>
        <v>0.79600061654894549</v>
      </c>
      <c r="W309" t="str">
        <f t="shared" si="260"/>
        <v>1-0,203231390925746i</v>
      </c>
      <c r="X309" s="4">
        <f t="shared" si="274"/>
        <v>1.0204425501994776</v>
      </c>
      <c r="Y309" s="4">
        <f t="shared" si="275"/>
        <v>-0.20050072690589238</v>
      </c>
      <c r="Z309" t="str">
        <f t="shared" si="261"/>
        <v>0,999735722620797+0,0279223493690453i</v>
      </c>
      <c r="AA309" s="4">
        <f t="shared" si="276"/>
        <v>1.0001255784542331</v>
      </c>
      <c r="AB309" s="4">
        <f t="shared" si="277"/>
        <v>2.7922471582007502E-2</v>
      </c>
      <c r="AC309" s="47" t="str">
        <f t="shared" si="278"/>
        <v>0,105623333899428-0,164774823944216i</v>
      </c>
      <c r="AD309" s="20">
        <f t="shared" si="279"/>
        <v>-14.167215038004933</v>
      </c>
      <c r="AE309" s="43">
        <f t="shared" si="280"/>
        <v>-57.339470079182959</v>
      </c>
      <c r="AF309" t="str">
        <f t="shared" si="262"/>
        <v>171,265703090588</v>
      </c>
      <c r="AG309" t="str">
        <f t="shared" si="263"/>
        <v>1+403,208884195853i</v>
      </c>
      <c r="AH309">
        <f t="shared" si="281"/>
        <v>403.21012424598769</v>
      </c>
      <c r="AI309">
        <f t="shared" si="282"/>
        <v>1.5683162277968388</v>
      </c>
      <c r="AJ309" t="str">
        <f t="shared" si="264"/>
        <v>1+1,0214329512779i</v>
      </c>
      <c r="AK309">
        <f t="shared" si="283"/>
        <v>1.4294492904458977</v>
      </c>
      <c r="AL309">
        <f t="shared" si="284"/>
        <v>0.79600061654894549</v>
      </c>
      <c r="AM309" t="str">
        <f t="shared" si="265"/>
        <v>1-0,0642078170757985i</v>
      </c>
      <c r="AN309">
        <f t="shared" si="285"/>
        <v>1.0020592017309353</v>
      </c>
      <c r="AO309">
        <f t="shared" si="286"/>
        <v>-6.4119799373716951E-2</v>
      </c>
      <c r="AP309" s="41" t="str">
        <f t="shared" si="287"/>
        <v>0,407707877776601-0,451602851057472i</v>
      </c>
      <c r="AQ309">
        <f t="shared" si="288"/>
        <v>-4.3159778535087074</v>
      </c>
      <c r="AR309" s="43">
        <f t="shared" si="289"/>
        <v>-47.924218863910362</v>
      </c>
      <c r="AS309" t="str">
        <f t="shared" si="266"/>
        <v>-0,0000166666666666667</v>
      </c>
      <c r="AT309" t="str">
        <f t="shared" si="267"/>
        <v>0,0000777310475922478i</v>
      </c>
      <c r="AU309">
        <f t="shared" si="290"/>
        <v>7.7731047592247802E-5</v>
      </c>
      <c r="AV309">
        <f t="shared" si="291"/>
        <v>1.5707963267948966</v>
      </c>
      <c r="AW309" t="str">
        <f t="shared" si="268"/>
        <v>1+0,243613772216739i</v>
      </c>
      <c r="AX309">
        <f t="shared" si="292"/>
        <v>1.0292461658969974</v>
      </c>
      <c r="AY309">
        <f t="shared" si="293"/>
        <v>0.23895912318645479</v>
      </c>
      <c r="AZ309" t="str">
        <f t="shared" si="269"/>
        <v>1+16,8536436960853i</v>
      </c>
      <c r="BA309">
        <f t="shared" si="294"/>
        <v>16.883284805824832</v>
      </c>
      <c r="BB309">
        <f t="shared" si="295"/>
        <v>1.5115314598640683</v>
      </c>
      <c r="BC309" s="41" t="str">
        <f t="shared" si="296"/>
        <v>-3,36191034823566+1,03342219990292i</v>
      </c>
      <c r="BD309">
        <f t="shared" si="297"/>
        <v>10.923838353097128</v>
      </c>
      <c r="BE309" s="43">
        <f t="shared" si="298"/>
        <v>162.91302401672851</v>
      </c>
      <c r="BF309" s="41" t="str">
        <f t="shared" si="299"/>
        <v>-0,184814218202589+0,663111683826196i</v>
      </c>
      <c r="BG309" s="20">
        <f t="shared" si="300"/>
        <v>-3.2433766849078078</v>
      </c>
      <c r="BH309" s="43">
        <f t="shared" si="301"/>
        <v>105.57355393754553</v>
      </c>
      <c r="BI309" s="41" t="str">
        <f t="shared" si="306"/>
        <v>-0,903980921532111+1,93958267023249i</v>
      </c>
      <c r="BJ309" s="20">
        <f t="shared" si="302"/>
        <v>6.6078604995884271</v>
      </c>
      <c r="BK309" s="43">
        <f t="shared" si="307"/>
        <v>114.98880515281813</v>
      </c>
      <c r="BL309">
        <f t="shared" si="303"/>
        <v>-3.2433766849078078</v>
      </c>
      <c r="BM309" s="43">
        <f t="shared" si="304"/>
        <v>105.57355393754553</v>
      </c>
    </row>
    <row r="310" spans="14:65" x14ac:dyDescent="0.25">
      <c r="N310" s="9">
        <v>92</v>
      </c>
      <c r="O310" s="34">
        <f t="shared" si="305"/>
        <v>8317.6377110267094</v>
      </c>
      <c r="P310" s="33" t="str">
        <f t="shared" si="257"/>
        <v>54,631621870174</v>
      </c>
      <c r="Q310" s="4" t="str">
        <f t="shared" si="258"/>
        <v>1+416,587575988969i</v>
      </c>
      <c r="R310" s="4">
        <f t="shared" si="270"/>
        <v>416.5887762150644</v>
      </c>
      <c r="S310" s="4">
        <f t="shared" si="271"/>
        <v>1.568395875756712</v>
      </c>
      <c r="T310" s="4" t="str">
        <f t="shared" si="259"/>
        <v>1+1,04522518112732i</v>
      </c>
      <c r="U310" s="4">
        <f t="shared" si="272"/>
        <v>1.4465461206828627</v>
      </c>
      <c r="V310" s="4">
        <f t="shared" si="273"/>
        <v>0.80750712847346962</v>
      </c>
      <c r="W310" t="str">
        <f t="shared" si="260"/>
        <v>1-0,207965258145786i</v>
      </c>
      <c r="X310" s="4">
        <f t="shared" si="274"/>
        <v>1.0213958824058591</v>
      </c>
      <c r="Y310" s="4">
        <f t="shared" si="275"/>
        <v>-0.20504259903730859</v>
      </c>
      <c r="Z310" t="str">
        <f t="shared" si="261"/>
        <v>0,999723267611632+0,0285727444373589i</v>
      </c>
      <c r="AA310" s="4">
        <f t="shared" si="276"/>
        <v>1.0001314981185032</v>
      </c>
      <c r="AB310" s="4">
        <f t="shared" si="277"/>
        <v>2.8572875370285158E-2</v>
      </c>
      <c r="AC310" s="47" t="str">
        <f t="shared" si="278"/>
        <v>0,105569263611379-0,162443797835864i</v>
      </c>
      <c r="AD310" s="20">
        <f t="shared" si="279"/>
        <v>-14.255883772939582</v>
      </c>
      <c r="AE310" s="43">
        <f t="shared" si="280"/>
        <v>-56.980894610827789</v>
      </c>
      <c r="AF310" t="str">
        <f t="shared" si="262"/>
        <v>171,265703090588</v>
      </c>
      <c r="AG310" t="str">
        <f t="shared" si="263"/>
        <v>1+412,600825622958i</v>
      </c>
      <c r="AH310">
        <f t="shared" si="281"/>
        <v>412.60203744618929</v>
      </c>
      <c r="AI310">
        <f t="shared" si="282"/>
        <v>1.5683726815186891</v>
      </c>
      <c r="AJ310" t="str">
        <f t="shared" si="264"/>
        <v>1+1,04522518112732i</v>
      </c>
      <c r="AK310">
        <f t="shared" si="283"/>
        <v>1.4465461206828627</v>
      </c>
      <c r="AL310">
        <f t="shared" si="284"/>
        <v>0.80750712847346962</v>
      </c>
      <c r="AM310" t="str">
        <f t="shared" si="265"/>
        <v>1-0,065703409263309i</v>
      </c>
      <c r="AN310">
        <f t="shared" si="285"/>
        <v>1.0021561445148266</v>
      </c>
      <c r="AO310">
        <f t="shared" si="286"/>
        <v>-6.5609107552035834E-2</v>
      </c>
      <c r="AP310" s="41" t="str">
        <f t="shared" si="287"/>
        <v>0,407660578267884-0,44260621643344i</v>
      </c>
      <c r="AQ310">
        <f t="shared" si="288"/>
        <v>-4.411865757252416</v>
      </c>
      <c r="AR310" s="43">
        <f t="shared" si="289"/>
        <v>-47.353509926729934</v>
      </c>
      <c r="AS310" t="str">
        <f t="shared" si="266"/>
        <v>-0,0000166666666666667</v>
      </c>
      <c r="AT310" t="str">
        <f t="shared" si="267"/>
        <v>0,0000795416362837889i</v>
      </c>
      <c r="AU310">
        <f t="shared" si="290"/>
        <v>7.9541636283788898E-5</v>
      </c>
      <c r="AV310">
        <f t="shared" si="291"/>
        <v>1.5707963267948966</v>
      </c>
      <c r="AW310" t="str">
        <f t="shared" si="268"/>
        <v>1+0,249288265932468i</v>
      </c>
      <c r="AX310">
        <f t="shared" si="292"/>
        <v>1.0306040168423647</v>
      </c>
      <c r="AY310">
        <f t="shared" si="293"/>
        <v>0.24430868367007322</v>
      </c>
      <c r="AZ310" t="str">
        <f t="shared" si="269"/>
        <v>1+17,2462154886008i</v>
      </c>
      <c r="BA310">
        <f t="shared" si="294"/>
        <v>17.275183028820681</v>
      </c>
      <c r="BB310">
        <f t="shared" si="295"/>
        <v>1.512877442998444</v>
      </c>
      <c r="BC310" s="41" t="str">
        <f t="shared" si="296"/>
        <v>-3,35305735362824+1,04541172061786i</v>
      </c>
      <c r="BD310">
        <f t="shared" si="297"/>
        <v>10.911701107655411</v>
      </c>
      <c r="BE310" s="43">
        <f t="shared" si="298"/>
        <v>162.68363593166285</v>
      </c>
      <c r="BF310" s="41" t="str">
        <f t="shared" si="299"/>
        <v>-0,184159145469962+0,655046716401175i</v>
      </c>
      <c r="BG310" s="20">
        <f t="shared" si="300"/>
        <v>-3.3441826652841748</v>
      </c>
      <c r="BH310" s="43">
        <f t="shared" si="301"/>
        <v>105.70274132083503</v>
      </c>
      <c r="BI310" s="41" t="str">
        <f t="shared" si="306"/>
        <v>-0,904203573467626+1,91025717532882i</v>
      </c>
      <c r="BJ310" s="20">
        <f t="shared" si="302"/>
        <v>6.4998353504029991</v>
      </c>
      <c r="BK310" s="43">
        <f t="shared" si="307"/>
        <v>115.33012600493291</v>
      </c>
      <c r="BL310">
        <f t="shared" si="303"/>
        <v>-3.3441826652841748</v>
      </c>
      <c r="BM310" s="43">
        <f t="shared" si="304"/>
        <v>105.70274132083503</v>
      </c>
    </row>
    <row r="311" spans="14:65" x14ac:dyDescent="0.25">
      <c r="N311" s="9">
        <v>93</v>
      </c>
      <c r="O311" s="34">
        <f t="shared" si="305"/>
        <v>8511.3803820237772</v>
      </c>
      <c r="P311" s="33" t="str">
        <f t="shared" si="257"/>
        <v>54,631621870174</v>
      </c>
      <c r="Q311" s="4" t="str">
        <f t="shared" si="258"/>
        <v>1+426,291147180739i</v>
      </c>
      <c r="R311" s="4">
        <f t="shared" si="270"/>
        <v>426.29232008642907</v>
      </c>
      <c r="S311" s="4">
        <f t="shared" si="271"/>
        <v>1.5684505164905131</v>
      </c>
      <c r="T311" s="4" t="str">
        <f t="shared" si="259"/>
        <v>1+1,06957160320297i</v>
      </c>
      <c r="U311" s="4">
        <f t="shared" si="272"/>
        <v>1.4642347538486347</v>
      </c>
      <c r="V311" s="4">
        <f t="shared" si="273"/>
        <v>0.81900193630290474</v>
      </c>
      <c r="W311" t="str">
        <f t="shared" si="260"/>
        <v>1-0,212809391298441i</v>
      </c>
      <c r="X311" s="4">
        <f t="shared" si="274"/>
        <v>1.0223931910105881</v>
      </c>
      <c r="Y311" s="4">
        <f t="shared" si="275"/>
        <v>-0.20968139829082302</v>
      </c>
      <c r="Z311" t="str">
        <f t="shared" si="261"/>
        <v>0,99971022561597+0,0292382891529783i</v>
      </c>
      <c r="AA311" s="4">
        <f t="shared" si="276"/>
        <v>1.0001376968966458</v>
      </c>
      <c r="AB311" s="4">
        <f t="shared" si="277"/>
        <v>2.9238429426998464E-2</v>
      </c>
      <c r="AC311" s="47" t="str">
        <f t="shared" si="278"/>
        <v>0,105514010276547-0,16019882965636i</v>
      </c>
      <c r="AD311" s="20">
        <f t="shared" si="279"/>
        <v>-14.34189105150643</v>
      </c>
      <c r="AE311" s="43">
        <f t="shared" si="280"/>
        <v>-56.629338377045798</v>
      </c>
      <c r="AF311" t="str">
        <f t="shared" si="262"/>
        <v>171,265703090588</v>
      </c>
      <c r="AG311" t="str">
        <f t="shared" si="263"/>
        <v>1+422,211533469227i</v>
      </c>
      <c r="AH311">
        <f t="shared" si="281"/>
        <v>422.21271770807209</v>
      </c>
      <c r="AI311">
        <f t="shared" si="282"/>
        <v>1.5684278502118703</v>
      </c>
      <c r="AJ311" t="str">
        <f t="shared" si="264"/>
        <v>1+1,06957160320297i</v>
      </c>
      <c r="AK311">
        <f t="shared" si="283"/>
        <v>1.4642347538486347</v>
      </c>
      <c r="AL311">
        <f t="shared" si="284"/>
        <v>0.81900193630290474</v>
      </c>
      <c r="AM311" t="str">
        <f t="shared" si="265"/>
        <v>1-0,0672338382680986i</v>
      </c>
      <c r="AN311">
        <f t="shared" si="285"/>
        <v>1.0022576460213515</v>
      </c>
      <c r="AO311">
        <f t="shared" si="286"/>
        <v>-6.713280445298285E-2</v>
      </c>
      <c r="AP311" s="41" t="str">
        <f t="shared" si="287"/>
        <v>0,407615407563291-0,4338442471622i</v>
      </c>
      <c r="AQ311">
        <f t="shared" si="288"/>
        <v>-4.5054164048256471</v>
      </c>
      <c r="AR311" s="43">
        <f t="shared" si="289"/>
        <v>-46.785368286751442</v>
      </c>
      <c r="AS311" t="str">
        <f t="shared" si="266"/>
        <v>-0,0000166666666666667</v>
      </c>
      <c r="AT311" t="str">
        <f t="shared" si="267"/>
        <v>0,0000813943990037458i</v>
      </c>
      <c r="AU311">
        <f t="shared" si="290"/>
        <v>8.1394399003745802E-5</v>
      </c>
      <c r="AV311">
        <f t="shared" si="291"/>
        <v>1.5707963267948966</v>
      </c>
      <c r="AW311" t="str">
        <f t="shared" si="268"/>
        <v>1+0,255094935586516i</v>
      </c>
      <c r="AX311">
        <f t="shared" si="292"/>
        <v>1.0320239465060337</v>
      </c>
      <c r="AY311">
        <f t="shared" si="293"/>
        <v>0.24976811831525278</v>
      </c>
      <c r="AZ311" t="str">
        <f t="shared" si="269"/>
        <v>1+17,647931452849i</v>
      </c>
      <c r="BA311">
        <f t="shared" si="294"/>
        <v>17.676240679637086</v>
      </c>
      <c r="BB311">
        <f t="shared" si="295"/>
        <v>1.5141929908588792</v>
      </c>
      <c r="BC311" s="41" t="str">
        <f t="shared" si="296"/>
        <v>-3,34383696627594+1,05776016975876i</v>
      </c>
      <c r="BD311">
        <f t="shared" si="297"/>
        <v>10.899087211446009</v>
      </c>
      <c r="BE311" s="43">
        <f t="shared" si="298"/>
        <v>162.44620870811681</v>
      </c>
      <c r="BF311" s="41" t="str">
        <f t="shared" si="299"/>
        <v>-0,183369706770271+0,647287285981127i</v>
      </c>
      <c r="BG311" s="20">
        <f t="shared" si="300"/>
        <v>-3.4428038400604217</v>
      </c>
      <c r="BH311" s="43">
        <f t="shared" si="301"/>
        <v>105.816870331071</v>
      </c>
      <c r="BI311" s="41" t="str">
        <f t="shared" si="306"/>
        <v>-0,904096303306616+1,88186377396755i</v>
      </c>
      <c r="BJ311" s="20">
        <f t="shared" si="302"/>
        <v>6.3936708066203511</v>
      </c>
      <c r="BK311" s="43">
        <f t="shared" si="307"/>
        <v>115.66084042136542</v>
      </c>
      <c r="BL311">
        <f t="shared" si="303"/>
        <v>-3.4428038400604217</v>
      </c>
      <c r="BM311" s="43">
        <f t="shared" si="304"/>
        <v>105.816870331071</v>
      </c>
    </row>
    <row r="312" spans="14:65" x14ac:dyDescent="0.25">
      <c r="N312" s="9">
        <v>94</v>
      </c>
      <c r="O312" s="34">
        <f t="shared" si="305"/>
        <v>8709.6358995608189</v>
      </c>
      <c r="P312" s="33" t="str">
        <f t="shared" si="257"/>
        <v>54,631621870174</v>
      </c>
      <c r="Q312" s="4" t="str">
        <f t="shared" si="258"/>
        <v>1+436,220743581373i</v>
      </c>
      <c r="R312" s="4">
        <f t="shared" si="270"/>
        <v>436.22188978854092</v>
      </c>
      <c r="S312" s="4">
        <f t="shared" si="271"/>
        <v>1.5685039134628993</v>
      </c>
      <c r="T312" s="4" t="str">
        <f t="shared" si="259"/>
        <v>1+1,09448512630009i</v>
      </c>
      <c r="U312" s="4">
        <f t="shared" si="272"/>
        <v>1.4825308400475601</v>
      </c>
      <c r="V312" s="4">
        <f t="shared" si="273"/>
        <v>0.83047898525715502</v>
      </c>
      <c r="W312" t="str">
        <f t="shared" si="260"/>
        <v>1-0,217766358807228i</v>
      </c>
      <c r="X312" s="4">
        <f t="shared" si="274"/>
        <v>1.0234364596926173</v>
      </c>
      <c r="Y312" s="4">
        <f t="shared" si="275"/>
        <v>-0.2144187852879427</v>
      </c>
      <c r="Z312" t="str">
        <f t="shared" si="261"/>
        <v>0,999696568969988+0,0299193363965211i</v>
      </c>
      <c r="AA312" s="4">
        <f t="shared" si="276"/>
        <v>1.0001441879553039</v>
      </c>
      <c r="AB312" s="4">
        <f t="shared" si="277"/>
        <v>2.9919486676880918E-2</v>
      </c>
      <c r="AC312" s="47" t="str">
        <f t="shared" si="278"/>
        <v>0,105457456832237-0,158038724393653i</v>
      </c>
      <c r="AD312" s="20">
        <f t="shared" si="279"/>
        <v>-14.425227111930658</v>
      </c>
      <c r="AE312" s="43">
        <f t="shared" si="280"/>
        <v>-56.285265318738979</v>
      </c>
      <c r="AF312" t="str">
        <f t="shared" si="262"/>
        <v>171,265703090588</v>
      </c>
      <c r="AG312" t="str">
        <f t="shared" si="263"/>
        <v>1+432,04610345917i</v>
      </c>
      <c r="AH312">
        <f t="shared" si="281"/>
        <v>432.04726074152097</v>
      </c>
      <c r="AI312">
        <f t="shared" si="282"/>
        <v>1.5684817631262096</v>
      </c>
      <c r="AJ312" t="str">
        <f t="shared" si="264"/>
        <v>1+1,09448512630009i</v>
      </c>
      <c r="AK312">
        <f t="shared" si="283"/>
        <v>1.4825308400475601</v>
      </c>
      <c r="AL312">
        <f t="shared" si="284"/>
        <v>0.83047898525715502</v>
      </c>
      <c r="AM312" t="str">
        <f t="shared" si="265"/>
        <v>1-0,0687999155438828i</v>
      </c>
      <c r="AN312">
        <f t="shared" si="285"/>
        <v>1.0023639201302317</v>
      </c>
      <c r="AO312">
        <f t="shared" si="286"/>
        <v>-6.8691669644938683E-2</v>
      </c>
      <c r="AP312" s="41" t="str">
        <f t="shared" si="287"/>
        <v>0,407572269853006-0,425312298220587i</v>
      </c>
      <c r="AQ312">
        <f t="shared" si="288"/>
        <v>-4.5966338360071228</v>
      </c>
      <c r="AR312" s="43">
        <f t="shared" si="289"/>
        <v>-46.220187199189454</v>
      </c>
      <c r="AS312" t="str">
        <f t="shared" si="266"/>
        <v>-0,0000166666666666667</v>
      </c>
      <c r="AT312" t="str">
        <f t="shared" si="267"/>
        <v>0,0000832903181114367i</v>
      </c>
      <c r="AU312">
        <f t="shared" si="290"/>
        <v>8.3290318111436698E-5</v>
      </c>
      <c r="AV312">
        <f t="shared" si="291"/>
        <v>1.5707963267948966</v>
      </c>
      <c r="AW312" t="str">
        <f t="shared" si="268"/>
        <v>1+0,261036859951992i</v>
      </c>
      <c r="AX312">
        <f t="shared" si="292"/>
        <v>1.0335087044885476</v>
      </c>
      <c r="AY312">
        <f t="shared" si="293"/>
        <v>0.2553390194665548</v>
      </c>
      <c r="AZ312" t="str">
        <f t="shared" si="269"/>
        <v>1+18,0590045839515i</v>
      </c>
      <c r="BA312">
        <f t="shared" si="294"/>
        <v>18.086670411194572</v>
      </c>
      <c r="BB312">
        <f t="shared" si="295"/>
        <v>1.5154787827417631</v>
      </c>
      <c r="BC312" s="41" t="str">
        <f t="shared" si="296"/>
        <v>-3,33423622977097+1,07046184560657i</v>
      </c>
      <c r="BD312">
        <f t="shared" si="297"/>
        <v>10.885974294378196</v>
      </c>
      <c r="BE312" s="43">
        <f t="shared" si="298"/>
        <v>162.20069003228397</v>
      </c>
      <c r="BF312" s="41" t="str">
        <f t="shared" si="299"/>
        <v>-0,182445648677815+0,639826624453719i</v>
      </c>
      <c r="BG312" s="20">
        <f t="shared" si="300"/>
        <v>-3.5392528175524602</v>
      </c>
      <c r="BH312" s="43">
        <f t="shared" si="301"/>
        <v>105.91542471354499</v>
      </c>
      <c r="BI312" s="41" t="str">
        <f t="shared" si="306"/>
        <v>-0,903661640681501+1,85438223789914i</v>
      </c>
      <c r="BJ312" s="20">
        <f t="shared" si="302"/>
        <v>6.2893404583710533</v>
      </c>
      <c r="BK312" s="43">
        <f t="shared" si="307"/>
        <v>115.98050283309456</v>
      </c>
      <c r="BL312">
        <f t="shared" si="303"/>
        <v>-3.5392528175524602</v>
      </c>
      <c r="BM312" s="43">
        <f t="shared" si="304"/>
        <v>105.91542471354499</v>
      </c>
    </row>
    <row r="313" spans="14:65" x14ac:dyDescent="0.25">
      <c r="N313" s="9">
        <v>95</v>
      </c>
      <c r="O313" s="34">
        <f t="shared" si="305"/>
        <v>8912.5093813374679</v>
      </c>
      <c r="P313" s="33" t="str">
        <f t="shared" si="257"/>
        <v>54,631621870174</v>
      </c>
      <c r="Q313" s="4" t="str">
        <f t="shared" si="258"/>
        <v>1+446,381629994319i</v>
      </c>
      <c r="R313" s="4">
        <f t="shared" si="270"/>
        <v>446.38275011069265</v>
      </c>
      <c r="S313" s="4">
        <f t="shared" si="271"/>
        <v>1.5685560949844328</v>
      </c>
      <c r="T313" s="4" t="str">
        <f t="shared" si="259"/>
        <v>1+1,1199789598984i</v>
      </c>
      <c r="U313" s="4">
        <f t="shared" si="272"/>
        <v>1.5014502557910807</v>
      </c>
      <c r="V313" s="4">
        <f t="shared" si="273"/>
        <v>0.84193226733945747</v>
      </c>
      <c r="W313" t="str">
        <f t="shared" si="260"/>
        <v>1-0,222838788921933i</v>
      </c>
      <c r="X313" s="4">
        <f t="shared" si="274"/>
        <v>1.0245277574805838</v>
      </c>
      <c r="Y313" s="4">
        <f t="shared" si="275"/>
        <v>-0.21925642089765354</v>
      </c>
      <c r="Z313" t="str">
        <f t="shared" si="261"/>
        <v>0,99968226870611+0,0306162472682505i</v>
      </c>
      <c r="AA313" s="4">
        <f t="shared" si="276"/>
        <v>1.0001509850828454</v>
      </c>
      <c r="AB313" s="4">
        <f t="shared" si="277"/>
        <v>3.0616408267429254E-2</v>
      </c>
      <c r="AC313" s="47" t="str">
        <f t="shared" si="278"/>
        <v>0,105399483471082-0,155962331665583i</v>
      </c>
      <c r="AD313" s="20">
        <f t="shared" si="279"/>
        <v>-14.505883985738786</v>
      </c>
      <c r="AE313" s="43">
        <f t="shared" si="280"/>
        <v>-55.949137143851111</v>
      </c>
      <c r="AF313" t="str">
        <f t="shared" si="262"/>
        <v>171,265703090588</v>
      </c>
      <c r="AG313" t="str">
        <f t="shared" si="263"/>
        <v>1+442,109750011975i</v>
      </c>
      <c r="AH313">
        <f t="shared" si="281"/>
        <v>442.11088095143174</v>
      </c>
      <c r="AI313">
        <f t="shared" si="282"/>
        <v>1.5685344488457937</v>
      </c>
      <c r="AJ313" t="str">
        <f t="shared" si="264"/>
        <v>1+1,1199789598984i</v>
      </c>
      <c r="AK313">
        <f t="shared" si="283"/>
        <v>1.5014502557910807</v>
      </c>
      <c r="AL313">
        <f t="shared" si="284"/>
        <v>0.84193226733945747</v>
      </c>
      <c r="AM313" t="str">
        <f t="shared" si="265"/>
        <v>1-0,070402471445563i</v>
      </c>
      <c r="AN313">
        <f t="shared" si="285"/>
        <v>1.0024751907083005</v>
      </c>
      <c r="AO313">
        <f t="shared" si="286"/>
        <v>-7.028649933672447E-2</v>
      </c>
      <c r="AP313" s="41" t="str">
        <f t="shared" si="287"/>
        <v>0,40753107363917-0,417005846499285i</v>
      </c>
      <c r="AQ313">
        <f t="shared" si="288"/>
        <v>-4.6855244015635424</v>
      </c>
      <c r="AR313" s="43">
        <f t="shared" si="289"/>
        <v>-45.65835815405503</v>
      </c>
      <c r="AS313" t="str">
        <f t="shared" si="266"/>
        <v>-0,0000166666666666667</v>
      </c>
      <c r="AT313" t="str">
        <f t="shared" si="267"/>
        <v>0,0000852303988482679i</v>
      </c>
      <c r="AU313">
        <f t="shared" si="290"/>
        <v>8.5230398848267898E-5</v>
      </c>
      <c r="AV313">
        <f t="shared" si="291"/>
        <v>1.5707963267948966</v>
      </c>
      <c r="AW313" t="str">
        <f t="shared" si="268"/>
        <v>1+0,267117189515846i</v>
      </c>
      <c r="AX313">
        <f t="shared" si="292"/>
        <v>1.0350611542004871</v>
      </c>
      <c r="AY313">
        <f t="shared" si="293"/>
        <v>0.26102295716903789</v>
      </c>
      <c r="AZ313" t="str">
        <f t="shared" si="269"/>
        <v>1+18,4796528383235i</v>
      </c>
      <c r="BA313">
        <f t="shared" si="294"/>
        <v>18.506689845160256</v>
      </c>
      <c r="BB313">
        <f t="shared" si="295"/>
        <v>1.5167354833753481</v>
      </c>
      <c r="BC313" s="41" t="str">
        <f t="shared" si="296"/>
        <v>-3,32424193671299+1,08351054628162i</v>
      </c>
      <c r="BD313">
        <f t="shared" si="297"/>
        <v>10.872339312796054</v>
      </c>
      <c r="BE313" s="43">
        <f t="shared" si="298"/>
        <v>161.94702803333237</v>
      </c>
      <c r="BF313" s="41" t="str">
        <f t="shared" si="299"/>
        <v>-0,181386551880127+0,632657975383824i</v>
      </c>
      <c r="BG313" s="20">
        <f t="shared" si="300"/>
        <v>-3.6335446729427328</v>
      </c>
      <c r="BH313" s="43">
        <f t="shared" si="301"/>
        <v>105.99789088948123</v>
      </c>
      <c r="BI313" s="41" t="str">
        <f t="shared" si="306"/>
        <v>-0,902901652961929+1,82779253901294i</v>
      </c>
      <c r="BJ313" s="20">
        <f t="shared" si="302"/>
        <v>6.1868149112325286</v>
      </c>
      <c r="BK313" s="43">
        <f t="shared" si="307"/>
        <v>116.28866987927726</v>
      </c>
      <c r="BL313">
        <f t="shared" si="303"/>
        <v>-3.6335446729427328</v>
      </c>
      <c r="BM313" s="43">
        <f t="shared" si="304"/>
        <v>105.99789088948123</v>
      </c>
    </row>
    <row r="314" spans="14:65" x14ac:dyDescent="0.25">
      <c r="N314" s="9">
        <v>96</v>
      </c>
      <c r="O314" s="34">
        <f t="shared" si="305"/>
        <v>9120.1083935591087</v>
      </c>
      <c r="P314" s="33" t="str">
        <f t="shared" si="257"/>
        <v>54,631621870174</v>
      </c>
      <c r="Q314" s="4" t="str">
        <f t="shared" si="258"/>
        <v>1+456,779193856047i</v>
      </c>
      <c r="R314" s="4">
        <f t="shared" si="270"/>
        <v>456.78028847552105</v>
      </c>
      <c r="S314" s="4">
        <f t="shared" si="271"/>
        <v>1.5686070887213104</v>
      </c>
      <c r="T314" s="4" t="str">
        <f t="shared" si="259"/>
        <v>1+1,14606662116592i</v>
      </c>
      <c r="U314" s="4">
        <f t="shared" si="272"/>
        <v>1.5210091058736857</v>
      </c>
      <c r="V314" s="4">
        <f t="shared" si="273"/>
        <v>0.85335583689225447</v>
      </c>
      <c r="W314" t="str">
        <f t="shared" si="260"/>
        <v>1-0,228029371112144i</v>
      </c>
      <c r="X314" s="4">
        <f t="shared" si="274"/>
        <v>1.0256692420511595</v>
      </c>
      <c r="Y314" s="4">
        <f t="shared" si="275"/>
        <v>-0.22419596397353567</v>
      </c>
      <c r="Z314" t="str">
        <f t="shared" si="261"/>
        <v>0,999667294491559+0,0313293912795355i</v>
      </c>
      <c r="AA314" s="4">
        <f t="shared" si="276"/>
        <v>1.0001581027187749</v>
      </c>
      <c r="AB314" s="4">
        <f t="shared" si="277"/>
        <v>3.1329563760582116E-2</v>
      </c>
      <c r="AC314" s="47" t="str">
        <f t="shared" si="278"/>
        <v>0,105339967388188-0,153968545085789i</v>
      </c>
      <c r="AD314" s="20">
        <f t="shared" si="279"/>
        <v>-14.583855446199793</v>
      </c>
      <c r="AE314" s="43">
        <f t="shared" si="280"/>
        <v>-55.621412318271787</v>
      </c>
      <c r="AF314" t="str">
        <f t="shared" si="262"/>
        <v>171,265703090588</v>
      </c>
      <c r="AG314" t="str">
        <f t="shared" si="263"/>
        <v>1+452,40780900625i</v>
      </c>
      <c r="AH314">
        <f t="shared" si="281"/>
        <v>452.40891420244537</v>
      </c>
      <c r="AI314">
        <f t="shared" si="282"/>
        <v>1.5685859353041178</v>
      </c>
      <c r="AJ314" t="str">
        <f t="shared" si="264"/>
        <v>1+1,14606662116592i</v>
      </c>
      <c r="AK314">
        <f t="shared" si="283"/>
        <v>1.5210091058736857</v>
      </c>
      <c r="AL314">
        <f t="shared" si="284"/>
        <v>0.85335583689225447</v>
      </c>
      <c r="AM314" t="str">
        <f t="shared" si="265"/>
        <v>1-0,0720423556694905i</v>
      </c>
      <c r="AN314">
        <f t="shared" si="285"/>
        <v>1.0025916920713085</v>
      </c>
      <c r="AO314">
        <f t="shared" si="286"/>
        <v>-7.1918106658560757E-2</v>
      </c>
      <c r="AP314" s="41" t="str">
        <f t="shared" si="287"/>
        <v>0,407491731541837-0,408920488407669i</v>
      </c>
      <c r="AQ314">
        <f t="shared" si="288"/>
        <v>-4.7720967246367438</v>
      </c>
      <c r="AR314" s="43">
        <f t="shared" si="289"/>
        <v>-45.100270001833621</v>
      </c>
      <c r="AS314" t="str">
        <f t="shared" si="266"/>
        <v>-0,0000166666666666667</v>
      </c>
      <c r="AT314" t="str">
        <f t="shared" si="267"/>
        <v>0,0000872156698707262i</v>
      </c>
      <c r="AU314">
        <f t="shared" si="290"/>
        <v>8.7215669870726201E-5</v>
      </c>
      <c r="AV314">
        <f t="shared" si="291"/>
        <v>1.5707963267948966</v>
      </c>
      <c r="AW314" t="str">
        <f t="shared" si="268"/>
        <v>1+0,273339148149295i</v>
      </c>
      <c r="AX314">
        <f t="shared" si="292"/>
        <v>1.036684276870727</v>
      </c>
      <c r="AY314">
        <f t="shared" si="293"/>
        <v>0.26682147546069329</v>
      </c>
      <c r="AZ314" t="str">
        <f t="shared" si="269"/>
        <v>1+18,9100992492376i</v>
      </c>
      <c r="BA314">
        <f t="shared" si="294"/>
        <v>18.936521687364245</v>
      </c>
      <c r="BB314">
        <f t="shared" si="295"/>
        <v>1.5179637431923256</v>
      </c>
      <c r="BC314" s="41" t="str">
        <f t="shared" si="296"/>
        <v>-3,31384064363122+1,09689953687694i</v>
      </c>
      <c r="BD314">
        <f t="shared" si="297"/>
        <v>10.858158533108114</v>
      </c>
      <c r="BE314" s="43">
        <f t="shared" si="298"/>
        <v>161.68517151144948</v>
      </c>
      <c r="BF314" s="41" t="str">
        <f t="shared" si="299"/>
        <v>-0,180191839531546+0,625774583988789i</v>
      </c>
      <c r="BG314" s="20">
        <f t="shared" si="300"/>
        <v>-3.7256969130916797</v>
      </c>
      <c r="BH314" s="43">
        <f t="shared" si="301"/>
        <v>106.06375919317766</v>
      </c>
      <c r="BI314" s="41" t="str">
        <f t="shared" si="306"/>
        <v>-0,901817967573137+1,80207482610829i</v>
      </c>
      <c r="BJ314" s="20">
        <f t="shared" si="302"/>
        <v>6.0860618084713849</v>
      </c>
      <c r="BK314" s="43">
        <f t="shared" si="307"/>
        <v>116.58490150961582</v>
      </c>
      <c r="BL314">
        <f t="shared" si="303"/>
        <v>-3.7256969130916797</v>
      </c>
      <c r="BM314" s="43">
        <f t="shared" si="304"/>
        <v>106.06375919317766</v>
      </c>
    </row>
    <row r="315" spans="14:65" x14ac:dyDescent="0.25">
      <c r="N315" s="9">
        <v>97</v>
      </c>
      <c r="O315" s="34">
        <f t="shared" si="305"/>
        <v>9332.5430079699217</v>
      </c>
      <c r="P315" s="33" t="str">
        <f t="shared" si="257"/>
        <v>54,631621870174</v>
      </c>
      <c r="Q315" s="4" t="str">
        <f t="shared" si="258"/>
        <v>1+467,418948092545i</v>
      </c>
      <c r="R315" s="4">
        <f t="shared" si="270"/>
        <v>467.42001779549543</v>
      </c>
      <c r="S315" s="4">
        <f t="shared" si="271"/>
        <v>1.5686569217100244</v>
      </c>
      <c r="T315" s="4" t="str">
        <f t="shared" si="259"/>
        <v>1+1,17276194212596i</v>
      </c>
      <c r="U315" s="4">
        <f t="shared" si="272"/>
        <v>1.5412237257773622</v>
      </c>
      <c r="V315" s="4">
        <f t="shared" si="273"/>
        <v>0.86474382575632658</v>
      </c>
      <c r="W315" t="str">
        <f t="shared" si="260"/>
        <v>1-0,233340857493244i</v>
      </c>
      <c r="X315" s="4">
        <f t="shared" si="274"/>
        <v>1.0268631631213978</v>
      </c>
      <c r="Y315" s="4">
        <f t="shared" si="275"/>
        <v>-0.22923906892783269</v>
      </c>
      <c r="Z315" t="str">
        <f t="shared" si="261"/>
        <v>0,999651614564018+0,0320591465487705i</v>
      </c>
      <c r="AA315" s="4">
        <f t="shared" si="276"/>
        <v>1.0001655559845499</v>
      </c>
      <c r="AB315" s="4">
        <f t="shared" si="277"/>
        <v>3.2059331328873182E-2</v>
      </c>
      <c r="AC315" s="47" t="str">
        <f t="shared" si="278"/>
        <v>0,105278782522048-0,15205630165107i</v>
      </c>
      <c r="AD315" s="20">
        <f t="shared" si="279"/>
        <v>-14.659136947278553</v>
      </c>
      <c r="AE315" s="43">
        <f t="shared" si="280"/>
        <v>-55.302545070363522</v>
      </c>
      <c r="AF315" t="str">
        <f t="shared" si="262"/>
        <v>171,265703090588</v>
      </c>
      <c r="AG315" t="str">
        <f t="shared" si="263"/>
        <v>1+462,945740609185i</v>
      </c>
      <c r="AH315">
        <f t="shared" si="281"/>
        <v>462.94682064810303</v>
      </c>
      <c r="AI315">
        <f t="shared" si="282"/>
        <v>1.568636249798891</v>
      </c>
      <c r="AJ315" t="str">
        <f t="shared" si="264"/>
        <v>1+1,17276194212596i</v>
      </c>
      <c r="AK315">
        <f t="shared" si="283"/>
        <v>1.5412237257773622</v>
      </c>
      <c r="AL315">
        <f t="shared" si="284"/>
        <v>0.86474382575632658</v>
      </c>
      <c r="AM315" t="str">
        <f t="shared" si="265"/>
        <v>1-0,0737204377039873i</v>
      </c>
      <c r="AN315">
        <f t="shared" si="285"/>
        <v>1.0027136694666465</v>
      </c>
      <c r="AO315">
        <f t="shared" si="286"/>
        <v>-7.3587321942177375E-2</v>
      </c>
      <c r="AP315" s="41" t="str">
        <f t="shared" si="287"/>
        <v>0,407454160113654-0,401051937541839i</v>
      </c>
      <c r="AQ315">
        <f t="shared" si="288"/>
        <v>-4.8563616523313726</v>
      </c>
      <c r="AR315" s="43">
        <f t="shared" si="289"/>
        <v>-44.546308101828899</v>
      </c>
      <c r="AS315" t="str">
        <f t="shared" si="266"/>
        <v>-0,0000166666666666667</v>
      </c>
      <c r="AT315" t="str">
        <f t="shared" si="267"/>
        <v>0,0000892471837957858i</v>
      </c>
      <c r="AU315">
        <f t="shared" si="290"/>
        <v>8.9247183795785796E-5</v>
      </c>
      <c r="AV315">
        <f t="shared" si="291"/>
        <v>1.5707963267948966</v>
      </c>
      <c r="AW315" t="str">
        <f t="shared" si="268"/>
        <v>1+0,279706034817165i</v>
      </c>
      <c r="AX315">
        <f t="shared" si="292"/>
        <v>1.0383811756350079</v>
      </c>
      <c r="AY315">
        <f t="shared" si="293"/>
        <v>0.27273608845899255</v>
      </c>
      <c r="AZ315" t="str">
        <f t="shared" si="269"/>
        <v>1+19,3505720450784i</v>
      </c>
      <c r="BA315">
        <f t="shared" si="294"/>
        <v>19.37639384590873</v>
      </c>
      <c r="BB315">
        <f t="shared" si="295"/>
        <v>1.5191641986000635</v>
      </c>
      <c r="BC315" s="41" t="str">
        <f t="shared" si="296"/>
        <v>-3,30301868820662+1,11062151606046i</v>
      </c>
      <c r="BD315">
        <f t="shared" si="297"/>
        <v>10.843407516433579</v>
      </c>
      <c r="BE315" s="43">
        <f t="shared" si="298"/>
        <v>161.41507017755063</v>
      </c>
      <c r="BF315" s="41" t="str">
        <f t="shared" si="299"/>
        <v>-0,178860785875707+0,619169687066704i</v>
      </c>
      <c r="BG315" s="20">
        <f t="shared" si="300"/>
        <v>-3.8157294308449661</v>
      </c>
      <c r="BH315" s="43">
        <f t="shared" si="301"/>
        <v>106.1125251071871</v>
      </c>
      <c r="BI315" s="41" t="str">
        <f t="shared" si="306"/>
        <v>-0,900411794551229+1,77720940167274i</v>
      </c>
      <c r="BJ315" s="20">
        <f t="shared" si="302"/>
        <v>5.9870458641022246</v>
      </c>
      <c r="BK315" s="43">
        <f t="shared" si="307"/>
        <v>116.86876207572168</v>
      </c>
      <c r="BL315">
        <f t="shared" si="303"/>
        <v>-3.8157294308449661</v>
      </c>
      <c r="BM315" s="43">
        <f t="shared" si="304"/>
        <v>106.1125251071871</v>
      </c>
    </row>
    <row r="316" spans="14:65" x14ac:dyDescent="0.25">
      <c r="N316" s="9">
        <v>98</v>
      </c>
      <c r="O316" s="34">
        <f t="shared" si="305"/>
        <v>9549.9258602143691</v>
      </c>
      <c r="P316" s="33" t="str">
        <f t="shared" si="257"/>
        <v>54,631621870174</v>
      </c>
      <c r="Q316" s="4" t="str">
        <f t="shared" si="258"/>
        <v>1+478,306534042343i</v>
      </c>
      <c r="R316" s="4">
        <f t="shared" si="270"/>
        <v>478.30757939593536</v>
      </c>
      <c r="S316" s="4">
        <f t="shared" si="271"/>
        <v>1.5687056203716947</v>
      </c>
      <c r="T316" s="4" t="str">
        <f t="shared" si="259"/>
        <v>1+1,20007907699107i</v>
      </c>
      <c r="U316" s="4">
        <f t="shared" si="272"/>
        <v>1.5621106846288897</v>
      </c>
      <c r="V316" s="4">
        <f t="shared" si="273"/>
        <v>0.87609045794074758</v>
      </c>
      <c r="W316" t="str">
        <f t="shared" si="260"/>
        <v>1-0,238776064285619i</v>
      </c>
      <c r="X316" s="4">
        <f t="shared" si="274"/>
        <v>1.0281118659346997</v>
      </c>
      <c r="Y316" s="4">
        <f t="shared" si="275"/>
        <v>-0.23438738313606475</v>
      </c>
      <c r="Z316" t="str">
        <f t="shared" si="261"/>
        <v>0,999635195664258+0,0328059000018586i</v>
      </c>
      <c r="AA316" s="4">
        <f t="shared" si="276"/>
        <v>1.0001733607158567</v>
      </c>
      <c r="AB316" s="4">
        <f t="shared" si="277"/>
        <v>3.2806097956163911E-2</v>
      </c>
      <c r="AC316" s="47" t="str">
        <f t="shared" si="278"/>
        <v>0,105215799288678-0,150224581149781i</v>
      </c>
      <c r="AD316" s="20">
        <f t="shared" si="279"/>
        <v>-14.731725553564232</v>
      </c>
      <c r="AE316" s="43">
        <f t="shared" si="280"/>
        <v>-54.992984414054412</v>
      </c>
      <c r="AF316" t="str">
        <f t="shared" si="262"/>
        <v>171,265703090588</v>
      </c>
      <c r="AG316" t="str">
        <f t="shared" si="263"/>
        <v>1+473,729132171603i</v>
      </c>
      <c r="AH316">
        <f t="shared" si="281"/>
        <v>473.73018762588913</v>
      </c>
      <c r="AI316">
        <f t="shared" si="282"/>
        <v>1.5686854190065052</v>
      </c>
      <c r="AJ316" t="str">
        <f t="shared" si="264"/>
        <v>1+1,20007907699107i</v>
      </c>
      <c r="AK316">
        <f t="shared" si="283"/>
        <v>1.5621106846288897</v>
      </c>
      <c r="AL316">
        <f t="shared" si="284"/>
        <v>0.87609045794074758</v>
      </c>
      <c r="AM316" t="str">
        <f t="shared" si="265"/>
        <v>1-0,0754376072903601i</v>
      </c>
      <c r="AN316">
        <f t="shared" si="285"/>
        <v>1.0028413795778945</v>
      </c>
      <c r="AO316">
        <f t="shared" si="286"/>
        <v>-7.5294992999550725E-2</v>
      </c>
      <c r="AP316" s="41" t="str">
        <f t="shared" si="287"/>
        <v>0,407418279662869-0,393396022414581i</v>
      </c>
      <c r="AQ316">
        <f t="shared" si="288"/>
        <v>-4.9383321978876076</v>
      </c>
      <c r="AR316" s="43">
        <f t="shared" si="289"/>
        <v>-43.996853498436927</v>
      </c>
      <c r="AS316" t="str">
        <f t="shared" si="266"/>
        <v>-0,0000166666666666667</v>
      </c>
      <c r="AT316" t="str">
        <f t="shared" si="267"/>
        <v>0,0000913260177590201i</v>
      </c>
      <c r="AU316">
        <f t="shared" si="290"/>
        <v>9.1326017759020098E-5</v>
      </c>
      <c r="AV316">
        <f t="shared" si="291"/>
        <v>1.5707963267948966</v>
      </c>
      <c r="AW316" t="str">
        <f t="shared" si="268"/>
        <v>1+0,286221225327041i</v>
      </c>
      <c r="AX316">
        <f t="shared" si="292"/>
        <v>1.0401550797009611</v>
      </c>
      <c r="AY316">
        <f t="shared" si="293"/>
        <v>0.2787682762382766</v>
      </c>
      <c r="AZ316" t="str">
        <f t="shared" si="269"/>
        <v>1+19,8013047703526i</v>
      </c>
      <c r="BA316">
        <f t="shared" si="294"/>
        <v>19.826539552034507</v>
      </c>
      <c r="BB316">
        <f t="shared" si="295"/>
        <v>1.5203374722483132</v>
      </c>
      <c r="BC316" s="41" t="str">
        <f t="shared" si="296"/>
        <v>-3,29176220894456+1,12466858226241i</v>
      </c>
      <c r="BD316">
        <f t="shared" si="297"/>
        <v>10.828061104394262</v>
      </c>
      <c r="BE316" s="43">
        <f t="shared" si="298"/>
        <v>161.1366749048259</v>
      </c>
      <c r="BF316" s="41" t="str">
        <f t="shared" si="299"/>
        <v>-0,177392525179678+0,612836502900978i</v>
      </c>
      <c r="BG316" s="20">
        <f t="shared" si="300"/>
        <v>-3.9036644491699688</v>
      </c>
      <c r="BH316" s="43">
        <f t="shared" si="301"/>
        <v>106.14369049077155</v>
      </c>
      <c r="BI316" s="41" t="str">
        <f t="shared" si="306"/>
        <v>-0,89868394943076+1,75317669870965i</v>
      </c>
      <c r="BJ316" s="20">
        <f t="shared" si="302"/>
        <v>5.8897289065066394</v>
      </c>
      <c r="BK316" s="43">
        <f t="shared" si="307"/>
        <v>117.13982140638903</v>
      </c>
      <c r="BL316">
        <f t="shared" si="303"/>
        <v>-3.9036644491699688</v>
      </c>
      <c r="BM316" s="43">
        <f t="shared" si="304"/>
        <v>106.14369049077155</v>
      </c>
    </row>
    <row r="317" spans="14:65" x14ac:dyDescent="0.25">
      <c r="N317" s="9">
        <v>99</v>
      </c>
      <c r="O317" s="34">
        <f t="shared" si="305"/>
        <v>9772.3722095581161</v>
      </c>
      <c r="P317" s="33" t="str">
        <f t="shared" si="257"/>
        <v>54,631621870174</v>
      </c>
      <c r="Q317" s="4" t="str">
        <f t="shared" si="258"/>
        <v>1+489,447724447626i</v>
      </c>
      <c r="R317" s="4">
        <f t="shared" si="270"/>
        <v>489.44874600611581</v>
      </c>
      <c r="S317" s="4">
        <f t="shared" si="271"/>
        <v>1.5687532105260718</v>
      </c>
      <c r="T317" s="4" t="str">
        <f t="shared" si="259"/>
        <v>1+1,22803250966771i</v>
      </c>
      <c r="U317" s="4">
        <f t="shared" si="272"/>
        <v>1.583686788730895</v>
      </c>
      <c r="V317" s="4">
        <f t="shared" si="273"/>
        <v>0.88739006371686935</v>
      </c>
      <c r="W317" t="str">
        <f t="shared" si="260"/>
        <v>1-0,244337873307853i</v>
      </c>
      <c r="X317" s="4">
        <f t="shared" si="274"/>
        <v>1.0294177948396872</v>
      </c>
      <c r="Y317" s="4">
        <f t="shared" si="275"/>
        <v>-0.23964254416592204</v>
      </c>
      <c r="Z317" t="str">
        <f t="shared" si="261"/>
        <v>0,999618002965591+0,0335700475773651i</v>
      </c>
      <c r="AA317" s="4">
        <f t="shared" si="276"/>
        <v>1.0001815334964261</v>
      </c>
      <c r="AB317" s="4">
        <f t="shared" si="277"/>
        <v>3.3570259643063809E-2</v>
      </c>
      <c r="AC317" s="47" t="str">
        <f t="shared" si="278"/>
        <v>0,105150884308419-0,148472405590789i</v>
      </c>
      <c r="AD317" s="20">
        <f t="shared" si="279"/>
        <v>-14.801619861721759</v>
      </c>
      <c r="AE317" s="43">
        <f t="shared" si="280"/>
        <v>-54.693173195110568</v>
      </c>
      <c r="AF317" t="str">
        <f t="shared" si="262"/>
        <v>171,265703090588</v>
      </c>
      <c r="AG317" t="str">
        <f t="shared" si="263"/>
        <v>1+484,763701190445i</v>
      </c>
      <c r="AH317">
        <f t="shared" si="281"/>
        <v>484.76473261971006</v>
      </c>
      <c r="AI317">
        <f t="shared" si="282"/>
        <v>1.5687334689961729</v>
      </c>
      <c r="AJ317" t="str">
        <f t="shared" si="264"/>
        <v>1+1,22803250966771i</v>
      </c>
      <c r="AK317">
        <f t="shared" si="283"/>
        <v>1.583686788730895</v>
      </c>
      <c r="AL317">
        <f t="shared" si="284"/>
        <v>0.88739006371686935</v>
      </c>
      <c r="AM317" t="str">
        <f t="shared" si="265"/>
        <v>1-0,077194774894653i</v>
      </c>
      <c r="AN317">
        <f t="shared" si="285"/>
        <v>1.0029750910521338</v>
      </c>
      <c r="AO317">
        <f t="shared" si="286"/>
        <v>-7.7041985399704166E-2</v>
      </c>
      <c r="AP317" s="41" t="str">
        <f t="shared" si="287"/>
        <v>0,407384014084315-0,385948684246075i</v>
      </c>
      <c r="AQ317">
        <f t="shared" si="288"/>
        <v>-5.0180234738988263</v>
      </c>
      <c r="AR317" s="43">
        <f t="shared" si="289"/>
        <v>-43.45228213028723</v>
      </c>
      <c r="AS317" t="str">
        <f t="shared" si="266"/>
        <v>-0,0000166666666666667</v>
      </c>
      <c r="AT317" t="str">
        <f t="shared" si="267"/>
        <v>0,000093453273985713i</v>
      </c>
      <c r="AU317">
        <f t="shared" si="290"/>
        <v>9.3453273985712998E-5</v>
      </c>
      <c r="AV317">
        <f t="shared" si="291"/>
        <v>1.5707963267948966</v>
      </c>
      <c r="AW317" t="str">
        <f t="shared" si="268"/>
        <v>1+0,292888174119172i</v>
      </c>
      <c r="AX317">
        <f t="shared" si="292"/>
        <v>1.0420093485851565</v>
      </c>
      <c r="AY317">
        <f t="shared" si="293"/>
        <v>0.28491948049555854</v>
      </c>
      <c r="AZ317" t="str">
        <f t="shared" si="269"/>
        <v>1+20,2625364095173i</v>
      </c>
      <c r="BA317">
        <f t="shared" si="294"/>
        <v>20.287197483807716</v>
      </c>
      <c r="BB317">
        <f t="shared" si="295"/>
        <v>1.5214841732942026</v>
      </c>
      <c r="BC317" s="41" t="str">
        <f t="shared" si="296"/>
        <v>-3,28005716744804+1,13903219958191i</v>
      </c>
      <c r="BD317">
        <f t="shared" si="297"/>
        <v>10.812093406188986</v>
      </c>
      <c r="BE317" s="43">
        <f t="shared" si="298"/>
        <v>160.84993799225356</v>
      </c>
      <c r="BF317" s="41" t="str">
        <f t="shared" si="299"/>
        <v>-0,175786061022036+0,606768221168121i</v>
      </c>
      <c r="BG317" s="20">
        <f t="shared" si="300"/>
        <v>-3.9895264555327774</v>
      </c>
      <c r="BH317" s="43">
        <f t="shared" si="301"/>
        <v>106.15676479714303</v>
      </c>
      <c r="BI317" s="41" t="str">
        <f t="shared" si="306"/>
        <v>-0,89663487655846+1,72995725766544i</v>
      </c>
      <c r="BJ317" s="20">
        <f t="shared" si="302"/>
        <v>5.7940699322901468</v>
      </c>
      <c r="BK317" s="43">
        <f t="shared" si="307"/>
        <v>117.39765586196636</v>
      </c>
      <c r="BL317">
        <f t="shared" si="303"/>
        <v>-3.9895264555327774</v>
      </c>
      <c r="BM317" s="43">
        <f t="shared" si="304"/>
        <v>106.15676479714303</v>
      </c>
    </row>
    <row r="318" spans="14:65" x14ac:dyDescent="0.25">
      <c r="N318" s="9">
        <v>100</v>
      </c>
      <c r="O318" s="34">
        <f t="shared" si="305"/>
        <v>10000</v>
      </c>
      <c r="P318" s="33" t="str">
        <f t="shared" si="257"/>
        <v>54,631621870174</v>
      </c>
      <c r="Q318" s="4" t="str">
        <f t="shared" si="258"/>
        <v>1+500,848426515016i</v>
      </c>
      <c r="R318" s="4">
        <f t="shared" si="270"/>
        <v>500.84942482004254</v>
      </c>
      <c r="S318" s="4">
        <f t="shared" si="271"/>
        <v>1.5687997174052226</v>
      </c>
      <c r="T318" s="4" t="str">
        <f t="shared" si="259"/>
        <v>1+1,25663706143592i</v>
      </c>
      <c r="U318" s="4">
        <f t="shared" si="272"/>
        <v>1.6059690856844984</v>
      </c>
      <c r="V318" s="4">
        <f t="shared" si="273"/>
        <v>0.89863709305634321</v>
      </c>
      <c r="W318" t="str">
        <f t="shared" si="260"/>
        <v>1-0,250029233504708i</v>
      </c>
      <c r="X318" s="4">
        <f t="shared" si="274"/>
        <v>1.0307834969609049</v>
      </c>
      <c r="Y318" s="4">
        <f t="shared" si="275"/>
        <v>-0.24500617682438905</v>
      </c>
      <c r="Z318" t="str">
        <f t="shared" si="261"/>
        <v>0,9996+0,0343519944364491i</v>
      </c>
      <c r="AA318" s="4">
        <f t="shared" si="276"/>
        <v>1.000190091693455</v>
      </c>
      <c r="AB318" s="4">
        <f t="shared" si="277"/>
        <v>3.4352221617146898E-2</v>
      </c>
      <c r="AC318" s="47" t="str">
        <f t="shared" si="278"/>
        <v>0,105083900124871-0,146798838652575i</v>
      </c>
      <c r="AD318" s="20">
        <f t="shared" si="279"/>
        <v>-14.868819914087673</v>
      </c>
      <c r="AE318" s="43">
        <f t="shared" si="280"/>
        <v>-54.403547164836063</v>
      </c>
      <c r="AF318" t="str">
        <f t="shared" si="262"/>
        <v>171,265703090588</v>
      </c>
      <c r="AG318" t="str">
        <f t="shared" si="263"/>
        <v>1+496,055298340263i</v>
      </c>
      <c r="AH318">
        <f t="shared" si="281"/>
        <v>496.05630629137988</v>
      </c>
      <c r="AI318">
        <f t="shared" si="282"/>
        <v>1.5687804252437474</v>
      </c>
      <c r="AJ318" t="str">
        <f t="shared" si="264"/>
        <v>1+1,25663706143592i</v>
      </c>
      <c r="AK318">
        <f t="shared" si="283"/>
        <v>1.6059690856844984</v>
      </c>
      <c r="AL318">
        <f t="shared" si="284"/>
        <v>0.89863709305634321</v>
      </c>
      <c r="AM318" t="str">
        <f t="shared" si="265"/>
        <v>1-0,0789928721903887i</v>
      </c>
      <c r="AN318">
        <f t="shared" si="285"/>
        <v>1.003115085051006</v>
      </c>
      <c r="AO318">
        <f t="shared" si="286"/>
        <v>-7.882918274295786E-2</v>
      </c>
      <c r="AP318" s="41" t="str">
        <f t="shared" si="287"/>
        <v>0,407351290698015-0,378705974814226i</v>
      </c>
      <c r="AQ318">
        <f t="shared" si="288"/>
        <v>-5.0954526171032013</v>
      </c>
      <c r="AR318" s="43">
        <f t="shared" si="289"/>
        <v>-42.912964076808926</v>
      </c>
      <c r="AS318" t="str">
        <f t="shared" si="266"/>
        <v>-0,0000166666666666667</v>
      </c>
      <c r="AT318" t="str">
        <f t="shared" si="267"/>
        <v>0,0000956300803752733i</v>
      </c>
      <c r="AU318">
        <f t="shared" si="290"/>
        <v>9.5630080375273295E-5</v>
      </c>
      <c r="AV318">
        <f t="shared" si="291"/>
        <v>1.5707963267948966</v>
      </c>
      <c r="AW318" t="str">
        <f t="shared" si="268"/>
        <v>1+0,299710416098054i</v>
      </c>
      <c r="AX318">
        <f t="shared" si="292"/>
        <v>1.0439474764171177</v>
      </c>
      <c r="AY318">
        <f t="shared" si="293"/>
        <v>0.29119110000320236</v>
      </c>
      <c r="AZ318" t="str">
        <f t="shared" si="269"/>
        <v>1+20,7345115136926i</v>
      </c>
      <c r="BA318">
        <f t="shared" si="294"/>
        <v>20.758611892692898</v>
      </c>
      <c r="BB318">
        <f t="shared" si="295"/>
        <v>1.5226048976643627</v>
      </c>
      <c r="BC318" s="41" t="str">
        <f t="shared" si="296"/>
        <v>-3,26788937344074+1,15370316356523i</v>
      </c>
      <c r="BD318">
        <f t="shared" si="297"/>
        <v>10.795477787097127</v>
      </c>
      <c r="BE318" s="43">
        <f t="shared" si="298"/>
        <v>160.55481344016113</v>
      </c>
      <c r="BF318" s="41" t="str">
        <f t="shared" si="299"/>
        <v>-0,174040275976596+0,600957992880028i</v>
      </c>
      <c r="BG318" s="20">
        <f t="shared" si="300"/>
        <v>-4.0733421269905454</v>
      </c>
      <c r="BH318" s="43">
        <f t="shared" si="301"/>
        <v>106.15126627532501</v>
      </c>
      <c r="BI318" s="41" t="str">
        <f t="shared" si="306"/>
        <v>-0,894264672925186+1,70753170351461i</v>
      </c>
      <c r="BJ318" s="20">
        <f t="shared" si="302"/>
        <v>5.7000251699939453</v>
      </c>
      <c r="BK318" s="43">
        <f t="shared" si="307"/>
        <v>117.64184936335214</v>
      </c>
      <c r="BL318">
        <f t="shared" si="303"/>
        <v>-4.0733421269905454</v>
      </c>
      <c r="BM318" s="43">
        <f t="shared" si="304"/>
        <v>106.15126627532501</v>
      </c>
    </row>
    <row r="319" spans="14:65" x14ac:dyDescent="0.25">
      <c r="N319" s="9">
        <v>1</v>
      </c>
      <c r="O319" s="34">
        <f>10^(4+(N319/100))</f>
        <v>10232.929922807549</v>
      </c>
      <c r="P319" s="33" t="str">
        <f t="shared" si="257"/>
        <v>54,631621870174</v>
      </c>
      <c r="Q319" s="4" t="str">
        <f t="shared" si="258"/>
        <v>1+512,514685047658i</v>
      </c>
      <c r="R319" s="4">
        <f t="shared" si="270"/>
        <v>512.51566062853146</v>
      </c>
      <c r="S319" s="4">
        <f t="shared" si="271"/>
        <v>1.5688451656669051</v>
      </c>
      <c r="T319" s="4" t="str">
        <f t="shared" si="259"/>
        <v>1+1,28590789880765i</v>
      </c>
      <c r="U319" s="4">
        <f t="shared" si="272"/>
        <v>1.6289748691173553</v>
      </c>
      <c r="V319" s="4">
        <f t="shared" si="273"/>
        <v>0.90982612834030585</v>
      </c>
      <c r="W319" t="str">
        <f t="shared" si="260"/>
        <v>1-0,255853162510696i</v>
      </c>
      <c r="X319" s="4">
        <f t="shared" si="274"/>
        <v>1.0322116259598728</v>
      </c>
      <c r="Y319" s="4">
        <f t="shared" si="275"/>
        <v>-0.25047989001731569</v>
      </c>
      <c r="Z319" t="str">
        <f t="shared" si="261"/>
        <v>0,99958114858078+0,0351521551776858i</v>
      </c>
      <c r="AA319" s="4">
        <f t="shared" si="276"/>
        <v>1.0001990534947069</v>
      </c>
      <c r="AB319" s="4">
        <f t="shared" si="277"/>
        <v>3.5152398548078681E-2</v>
      </c>
      <c r="AC319" s="47" t="str">
        <f t="shared" si="278"/>
        <v>0,105014704915328-0,145202985152003i</v>
      </c>
      <c r="AD319" s="20">
        <f t="shared" si="279"/>
        <v>-14.933327105105514</v>
      </c>
      <c r="AE319" s="43">
        <f t="shared" si="280"/>
        <v>-54.124534085048644</v>
      </c>
      <c r="AF319" t="str">
        <f t="shared" si="262"/>
        <v>171,265703090588</v>
      </c>
      <c r="AG319" t="str">
        <f t="shared" si="263"/>
        <v>1+507,60991057533i</v>
      </c>
      <c r="AH319">
        <f t="shared" si="281"/>
        <v>507.61089558272334</v>
      </c>
      <c r="AI319">
        <f t="shared" si="282"/>
        <v>1.5688263126452233</v>
      </c>
      <c r="AJ319" t="str">
        <f t="shared" si="264"/>
        <v>1+1,28590789880765i</v>
      </c>
      <c r="AK319">
        <f t="shared" si="283"/>
        <v>1.6289748691173553</v>
      </c>
      <c r="AL319">
        <f t="shared" si="284"/>
        <v>0.90982612834030585</v>
      </c>
      <c r="AM319" t="str">
        <f t="shared" si="265"/>
        <v>1-0,080832852552554i</v>
      </c>
      <c r="AN319">
        <f t="shared" si="285"/>
        <v>1.0032616558265262</v>
      </c>
      <c r="AO319">
        <f t="shared" si="286"/>
        <v>-8.0657486931963923E-2</v>
      </c>
      <c r="AP319" s="41" t="str">
        <f t="shared" si="287"/>
        <v>0,407320040095005-0,371664054363408i</v>
      </c>
      <c r="AQ319">
        <f t="shared" si="288"/>
        <v>-5.1706387053417568</v>
      </c>
      <c r="AR319" s="43">
        <f t="shared" si="289"/>
        <v>-42.379262846348333</v>
      </c>
      <c r="AS319" t="str">
        <f t="shared" si="266"/>
        <v>-0,0000166666666666667</v>
      </c>
      <c r="AT319" t="str">
        <f t="shared" si="267"/>
        <v>0,0000978575910992625i</v>
      </c>
      <c r="AU319">
        <f t="shared" si="290"/>
        <v>9.7857591099262495E-5</v>
      </c>
      <c r="AV319">
        <f t="shared" si="291"/>
        <v>1.5707963267948966</v>
      </c>
      <c r="AW319" t="str">
        <f t="shared" si="268"/>
        <v>1+0,306691568506687i</v>
      </c>
      <c r="AX319">
        <f t="shared" si="292"/>
        <v>1.0459730963046285</v>
      </c>
      <c r="AY319">
        <f t="shared" si="293"/>
        <v>0.29758448584803848</v>
      </c>
      <c r="AZ319" t="str">
        <f t="shared" si="269"/>
        <v>1+21,2174803303263i</v>
      </c>
      <c r="BA319">
        <f t="shared" si="294"/>
        <v>21.241032733080171</v>
      </c>
      <c r="BB319">
        <f t="shared" si="295"/>
        <v>1.5237002283140448</v>
      </c>
      <c r="BC319" s="41" t="str">
        <f t="shared" si="296"/>
        <v>-3,25524451268547+1,1686715670282i</v>
      </c>
      <c r="BD319">
        <f t="shared" si="297"/>
        <v>10.778186858564982</v>
      </c>
      <c r="BE319" s="43">
        <f t="shared" si="298"/>
        <v>160.25125723785146</v>
      </c>
      <c r="BF319" s="41" t="str">
        <f t="shared" si="299"/>
        <v>-0,172153941732141+0,595398920396008i</v>
      </c>
      <c r="BG319" s="20">
        <f t="shared" si="300"/>
        <v>-4.1551402465405332</v>
      </c>
      <c r="BH319" s="43">
        <f t="shared" si="301"/>
        <v>106.12672315280277</v>
      </c>
      <c r="BI319" s="41" t="str">
        <f t="shared" si="306"/>
        <v>-0,891573112605152+1,68588072306874i</v>
      </c>
      <c r="BJ319" s="20">
        <f t="shared" si="302"/>
        <v>5.6075481532232399</v>
      </c>
      <c r="BK319" s="43">
        <f t="shared" si="307"/>
        <v>117.87199439150307</v>
      </c>
      <c r="BL319">
        <f t="shared" si="303"/>
        <v>-4.1551402465405332</v>
      </c>
      <c r="BM319" s="43">
        <f t="shared" si="304"/>
        <v>106.12672315280277</v>
      </c>
    </row>
    <row r="320" spans="14:65" x14ac:dyDescent="0.25">
      <c r="N320" s="9">
        <v>2</v>
      </c>
      <c r="O320" s="34">
        <f t="shared" ref="O320:O383" si="308">10^(4+(N320/100))</f>
        <v>10471.285480509003</v>
      </c>
      <c r="P320" s="33" t="str">
        <f t="shared" si="257"/>
        <v>54,631621870174</v>
      </c>
      <c r="Q320" s="4" t="str">
        <f t="shared" si="258"/>
        <v>1+524,452685650247i</v>
      </c>
      <c r="R320" s="4">
        <f t="shared" si="270"/>
        <v>524.45363902422946</v>
      </c>
      <c r="S320" s="4">
        <f t="shared" si="271"/>
        <v>1.5688895794076378</v>
      </c>
      <c r="T320" s="4" t="str">
        <f t="shared" si="259"/>
        <v>1+1,31586054156834i</v>
      </c>
      <c r="U320" s="4">
        <f t="shared" si="272"/>
        <v>1.6527216840280536</v>
      </c>
      <c r="V320" s="4">
        <f t="shared" si="273"/>
        <v>0.92095189627528051</v>
      </c>
      <c r="W320" t="str">
        <f t="shared" si="260"/>
        <v>1-0,261812748250064i</v>
      </c>
      <c r="X320" s="4">
        <f t="shared" si="274"/>
        <v>1.0337049458845842</v>
      </c>
      <c r="Y320" s="4">
        <f t="shared" si="275"/>
        <v>-0.25606527341599472</v>
      </c>
      <c r="Z320" t="str">
        <f t="shared" si="261"/>
        <v>0,999561408721543+0,0359709540568916i</v>
      </c>
      <c r="AA320" s="4">
        <f t="shared" si="276"/>
        <v>1.0002084379473903</v>
      </c>
      <c r="AB320" s="4">
        <f t="shared" si="277"/>
        <v>3.5971214767766393E-2</v>
      </c>
      <c r="AC320" s="47" t="str">
        <f t="shared" si="278"/>
        <v>0,104943152192168-0,143683990532333i</v>
      </c>
      <c r="AD320" s="20">
        <f t="shared" si="279"/>
        <v>-14.995144081351839</v>
      </c>
      <c r="AE320" s="43">
        <f t="shared" si="280"/>
        <v>-53.856552867720531</v>
      </c>
      <c r="AF320" t="str">
        <f t="shared" si="262"/>
        <v>171,265703090588</v>
      </c>
      <c r="AG320" t="str">
        <f t="shared" si="263"/>
        <v>1+519,433664303995i</v>
      </c>
      <c r="AH320">
        <f t="shared" si="281"/>
        <v>519.43462688992474</v>
      </c>
      <c r="AI320">
        <f t="shared" si="282"/>
        <v>1.5688711555299355</v>
      </c>
      <c r="AJ320" t="str">
        <f t="shared" si="264"/>
        <v>1+1,31586054156834i</v>
      </c>
      <c r="AK320">
        <f t="shared" si="283"/>
        <v>1.6527216840280536</v>
      </c>
      <c r="AL320">
        <f t="shared" si="284"/>
        <v>0.92095189627528051</v>
      </c>
      <c r="AM320" t="str">
        <f t="shared" si="265"/>
        <v>1-0,082715691563092i</v>
      </c>
      <c r="AN320">
        <f t="shared" si="285"/>
        <v>1.003415111322707</v>
      </c>
      <c r="AO320">
        <f t="shared" si="286"/>
        <v>-8.2527818438809533E-2</v>
      </c>
      <c r="AP320" s="41" t="str">
        <f t="shared" si="287"/>
        <v>0,407290195990151-0,364819189570629i</v>
      </c>
      <c r="AQ320">
        <f t="shared" si="288"/>
        <v>-5.2436026673243123</v>
      </c>
      <c r="AR320" s="43">
        <f t="shared" si="289"/>
        <v>-41.85153470950015</v>
      </c>
      <c r="AS320" t="str">
        <f t="shared" si="266"/>
        <v>-0,0000166666666666667</v>
      </c>
      <c r="AT320" t="str">
        <f t="shared" si="267"/>
        <v>0,000100136987213351i</v>
      </c>
      <c r="AU320">
        <f t="shared" si="290"/>
        <v>1.00136987213351E-4</v>
      </c>
      <c r="AV320">
        <f t="shared" si="291"/>
        <v>1.5707963267948966</v>
      </c>
      <c r="AW320" t="str">
        <f t="shared" si="268"/>
        <v>1+0,313835332844486i</v>
      </c>
      <c r="AX320">
        <f t="shared" si="292"/>
        <v>1.0480899847539853</v>
      </c>
      <c r="AY320">
        <f t="shared" si="293"/>
        <v>0.30410093645762937</v>
      </c>
      <c r="AZ320" t="str">
        <f t="shared" si="269"/>
        <v>1+21,7116989358776i</v>
      </c>
      <c r="BA320">
        <f t="shared" si="294"/>
        <v>21.734715794833587</v>
      </c>
      <c r="BB320">
        <f t="shared" si="295"/>
        <v>1.5247707354831039</v>
      </c>
      <c r="BC320" s="41" t="str">
        <f t="shared" si="296"/>
        <v>-3,24210817793896+1,18392676611614i</v>
      </c>
      <c r="BD320">
        <f t="shared" si="297"/>
        <v>10.760192470037675</v>
      </c>
      <c r="BE320" s="43">
        <f t="shared" si="298"/>
        <v>159.93922766324215</v>
      </c>
      <c r="BF320" s="41" t="str">
        <f t="shared" si="299"/>
        <v>-0,170125729687314+0,590084047544688i</v>
      </c>
      <c r="BG320" s="20">
        <f t="shared" si="300"/>
        <v>-4.2349516113141652</v>
      </c>
      <c r="BH320" s="43">
        <f t="shared" si="301"/>
        <v>106.08267479552165</v>
      </c>
      <c r="BI320" s="41" t="str">
        <f t="shared" si="306"/>
        <v>-0,888559671888565+1,66498504258543i</v>
      </c>
      <c r="BJ320" s="20">
        <f t="shared" si="302"/>
        <v>5.5165898027133711</v>
      </c>
      <c r="BK320" s="43">
        <f t="shared" si="307"/>
        <v>118.08769295374198</v>
      </c>
      <c r="BL320">
        <f t="shared" si="303"/>
        <v>-4.2349516113141652</v>
      </c>
      <c r="BM320" s="43">
        <f t="shared" si="304"/>
        <v>106.08267479552165</v>
      </c>
    </row>
    <row r="321" spans="14:65" x14ac:dyDescent="0.25">
      <c r="N321" s="9">
        <v>3</v>
      </c>
      <c r="O321" s="34">
        <f t="shared" si="308"/>
        <v>10715.193052376071</v>
      </c>
      <c r="P321" s="33" t="str">
        <f t="shared" si="257"/>
        <v>54,631621870174</v>
      </c>
      <c r="Q321" s="4" t="str">
        <f t="shared" si="258"/>
        <v>1+536,668758008719i</v>
      </c>
      <c r="R321" s="4">
        <f t="shared" si="270"/>
        <v>536.66968968129834</v>
      </c>
      <c r="S321" s="4">
        <f t="shared" si="271"/>
        <v>1.5689329821754723</v>
      </c>
      <c r="T321" s="4" t="str">
        <f t="shared" si="259"/>
        <v>1+1,34651087100564i</v>
      </c>
      <c r="U321" s="4">
        <f t="shared" si="272"/>
        <v>1.6772273327537823</v>
      </c>
      <c r="V321" s="4">
        <f t="shared" si="273"/>
        <v>0.93200927895964059</v>
      </c>
      <c r="W321" t="str">
        <f t="shared" si="260"/>
        <v>1-0,267911150574056i</v>
      </c>
      <c r="X321" s="4">
        <f t="shared" si="274"/>
        <v>1.0352663351050853</v>
      </c>
      <c r="Y321" s="4">
        <f t="shared" si="275"/>
        <v>-0.26176389392575433</v>
      </c>
      <c r="Z321" t="str">
        <f t="shared" si="261"/>
        <v>0,999540738551401+0,0368088252120701i</v>
      </c>
      <c r="AA321" s="4">
        <f t="shared" si="276"/>
        <v>1.0002182649988816</v>
      </c>
      <c r="AB321" s="4">
        <f t="shared" si="277"/>
        <v>3.6809104495652396E-2</v>
      </c>
      <c r="AC321" s="47" t="str">
        <f t="shared" si="278"/>
        <v>0,104869090494545-0,142241040370025i</v>
      </c>
      <c r="AD321" s="20">
        <f t="shared" si="279"/>
        <v>-15.054274635959363</v>
      </c>
      <c r="AE321" s="43">
        <f t="shared" si="280"/>
        <v>-53.600012752222909</v>
      </c>
      <c r="AF321" t="str">
        <f t="shared" si="262"/>
        <v>171,265703090588</v>
      </c>
      <c r="AG321" t="str">
        <f t="shared" si="263"/>
        <v>1+531,532828636992i</v>
      </c>
      <c r="AH321">
        <f t="shared" si="281"/>
        <v>531.53376931183027</v>
      </c>
      <c r="AI321">
        <f t="shared" si="282"/>
        <v>1.5689149776734526</v>
      </c>
      <c r="AJ321" t="str">
        <f t="shared" si="264"/>
        <v>1+1,34651087100564i</v>
      </c>
      <c r="AK321">
        <f t="shared" si="283"/>
        <v>1.6772273327537823</v>
      </c>
      <c r="AL321">
        <f t="shared" si="284"/>
        <v>0.93200927895964059</v>
      </c>
      <c r="AM321" t="str">
        <f t="shared" si="265"/>
        <v>1-0,0846423875281683i</v>
      </c>
      <c r="AN321">
        <f t="shared" si="285"/>
        <v>1.0035757738040854</v>
      </c>
      <c r="AO321">
        <f t="shared" si="286"/>
        <v>-8.4441116567411462E-2</v>
      </c>
      <c r="AP321" s="41" t="str">
        <f t="shared" si="287"/>
        <v>0,407261695081547-0,358167751567951i</v>
      </c>
      <c r="AQ321">
        <f t="shared" si="288"/>
        <v>-5.3143671858932651</v>
      </c>
      <c r="AR321" s="43">
        <f t="shared" si="289"/>
        <v>-41.330128080817175</v>
      </c>
      <c r="AS321" t="str">
        <f t="shared" si="266"/>
        <v>-0,0000166666666666667</v>
      </c>
      <c r="AT321" t="str">
        <f t="shared" si="267"/>
        <v>0,000102469477283529i</v>
      </c>
      <c r="AU321">
        <f t="shared" si="290"/>
        <v>1.0246947728352899E-4</v>
      </c>
      <c r="AV321">
        <f t="shared" si="291"/>
        <v>1.5707963267948966</v>
      </c>
      <c r="AW321" t="str">
        <f t="shared" si="268"/>
        <v>1+0,321145496829861i</v>
      </c>
      <c r="AX321">
        <f t="shared" si="292"/>
        <v>1.050302066138165</v>
      </c>
      <c r="AY321">
        <f t="shared" si="293"/>
        <v>0.31074169241573119</v>
      </c>
      <c r="AZ321" t="str">
        <f t="shared" si="269"/>
        <v>1+22,2174293715931i</v>
      </c>
      <c r="BA321">
        <f t="shared" si="294"/>
        <v>22.239922838933765</v>
      </c>
      <c r="BB321">
        <f t="shared" si="295"/>
        <v>1.5258169769487431</v>
      </c>
      <c r="BC321" s="41" t="str">
        <f t="shared" si="296"/>
        <v>-3,22846590307707+1,19945734681604i</v>
      </c>
      <c r="BD321">
        <f t="shared" si="297"/>
        <v>10.741465702707515</v>
      </c>
      <c r="BE321" s="43">
        <f t="shared" si="298"/>
        <v>159.61868559439912</v>
      </c>
      <c r="BF321" s="41" t="str">
        <f t="shared" si="299"/>
        <v>-0,167954222057759+0,585006349900433i</v>
      </c>
      <c r="BG321" s="20">
        <f t="shared" si="300"/>
        <v>-4.3128089332518469</v>
      </c>
      <c r="BH321" s="43">
        <f t="shared" si="301"/>
        <v>106.01867284217623</v>
      </c>
      <c r="BI321" s="41" t="str">
        <f t="shared" si="306"/>
        <v>-0,885223555189384+1,64482540576122i</v>
      </c>
      <c r="BJ321" s="20">
        <f t="shared" si="302"/>
        <v>5.4270985168142341</v>
      </c>
      <c r="BK321" s="43">
        <f t="shared" si="307"/>
        <v>118.28855751358202</v>
      </c>
      <c r="BL321">
        <f t="shared" si="303"/>
        <v>-4.3128089332518469</v>
      </c>
      <c r="BM321" s="43">
        <f t="shared" si="304"/>
        <v>106.01867284217623</v>
      </c>
    </row>
    <row r="322" spans="14:65" x14ac:dyDescent="0.25">
      <c r="N322" s="9">
        <v>4</v>
      </c>
      <c r="O322" s="34">
        <f t="shared" si="308"/>
        <v>10964.781961431856</v>
      </c>
      <c r="P322" s="33" t="str">
        <f t="shared" si="257"/>
        <v>54,631621870174</v>
      </c>
      <c r="Q322" s="4" t="str">
        <f t="shared" si="258"/>
        <v>1+549,169379246338i</v>
      </c>
      <c r="R322" s="4">
        <f t="shared" si="270"/>
        <v>549.1702897114958</v>
      </c>
      <c r="S322" s="4">
        <f t="shared" si="271"/>
        <v>1.5689753969824765</v>
      </c>
      <c r="T322" s="4" t="str">
        <f t="shared" si="259"/>
        <v>1+1,37787513832993i</v>
      </c>
      <c r="U322" s="4">
        <f t="shared" si="272"/>
        <v>1.7025098815653681</v>
      </c>
      <c r="V322" s="4">
        <f t="shared" si="273"/>
        <v>0.94299332405373126</v>
      </c>
      <c r="W322" t="str">
        <f t="shared" si="260"/>
        <v>1-0,274151602936305i</v>
      </c>
      <c r="X322" s="4">
        <f t="shared" si="274"/>
        <v>1.0368987903322799</v>
      </c>
      <c r="Y322" s="4">
        <f t="shared" si="275"/>
        <v>-0.26757729195206431</v>
      </c>
      <c r="Z322" t="str">
        <f t="shared" si="261"/>
        <v>0,999519094226153+0,0376662128935985i</v>
      </c>
      <c r="AA322" s="4">
        <f t="shared" si="276"/>
        <v>1.0002285555393902</v>
      </c>
      <c r="AB322" s="4">
        <f t="shared" si="277"/>
        <v>3.7666512069271615E-2</v>
      </c>
      <c r="AC322" s="47" t="str">
        <f t="shared" si="278"/>
        <v>0,104792363069773-0,140873359899864i</v>
      </c>
      <c r="AD322" s="20">
        <f t="shared" si="279"/>
        <v>-15.11072359828554</v>
      </c>
      <c r="AE322" s="43">
        <f t="shared" si="280"/>
        <v>-53.355312522608536</v>
      </c>
      <c r="AF322" t="str">
        <f t="shared" si="262"/>
        <v>171,265703090588</v>
      </c>
      <c r="AG322" t="str">
        <f t="shared" si="263"/>
        <v>1+543,913818711401i</v>
      </c>
      <c r="AH322">
        <f t="shared" si="281"/>
        <v>543.91473797390222</v>
      </c>
      <c r="AI322">
        <f t="shared" si="282"/>
        <v>1.5689578023101818</v>
      </c>
      <c r="AJ322" t="str">
        <f t="shared" si="264"/>
        <v>1+1,37787513832993i</v>
      </c>
      <c r="AK322">
        <f t="shared" si="283"/>
        <v>1.7025098815653681</v>
      </c>
      <c r="AL322">
        <f t="shared" si="284"/>
        <v>0.94299332405373126</v>
      </c>
      <c r="AM322" t="str">
        <f t="shared" si="265"/>
        <v>1-0,0866139620074865i</v>
      </c>
      <c r="AN322">
        <f t="shared" si="285"/>
        <v>1.003743980512279</v>
      </c>
      <c r="AO322">
        <f t="shared" si="286"/>
        <v>-8.639833971036634E-2</v>
      </c>
      <c r="AP322" s="41" t="str">
        <f t="shared" si="287"/>
        <v>0,407234476916261-0,351706214020186i</v>
      </c>
      <c r="AQ322">
        <f t="shared" si="288"/>
        <v>-5.38295659550589</v>
      </c>
      <c r="AR322" s="43">
        <f t="shared" si="289"/>
        <v>-40.815382951544692</v>
      </c>
      <c r="AS322" t="str">
        <f t="shared" si="266"/>
        <v>-0,0000166666666666667</v>
      </c>
      <c r="AT322" t="str">
        <f t="shared" si="267"/>
        <v>0,000104856298026908i</v>
      </c>
      <c r="AU322">
        <f t="shared" si="290"/>
        <v>1.04856298026908E-4</v>
      </c>
      <c r="AV322">
        <f t="shared" si="291"/>
        <v>1.5707963267948966</v>
      </c>
      <c r="AW322" t="str">
        <f t="shared" si="268"/>
        <v>1+0,328625936408517i</v>
      </c>
      <c r="AX322">
        <f t="shared" si="292"/>
        <v>1.052613417205184</v>
      </c>
      <c r="AY322">
        <f t="shared" si="293"/>
        <v>0.3175079310704737</v>
      </c>
      <c r="AZ322" t="str">
        <f t="shared" si="269"/>
        <v>1+22,7349397824438i</v>
      </c>
      <c r="BA322">
        <f t="shared" si="294"/>
        <v>22.756921736283793</v>
      </c>
      <c r="BB322">
        <f t="shared" si="295"/>
        <v>1.5268394982749172</v>
      </c>
      <c r="BC322" s="41" t="str">
        <f t="shared" si="296"/>
        <v>-3,21430320051452+1,21525109215824i</v>
      </c>
      <c r="BD322">
        <f t="shared" si="297"/>
        <v>10.721976865355742</v>
      </c>
      <c r="BE322" s="43">
        <f t="shared" si="298"/>
        <v>159.28959483275608</v>
      </c>
      <c r="BF322" s="41" t="str">
        <f t="shared" si="299"/>
        <v>-0,16563792353034+0,580158725263751i</v>
      </c>
      <c r="BG322" s="20">
        <f t="shared" si="300"/>
        <v>-4.3887467329297998</v>
      </c>
      <c r="BH322" s="43">
        <f t="shared" si="301"/>
        <v>105.93428231014749</v>
      </c>
      <c r="BI322" s="41" t="str">
        <f t="shared" si="306"/>
        <v>-0,881563721804923+1,6253825522029i</v>
      </c>
      <c r="BJ322" s="20">
        <f t="shared" si="302"/>
        <v>5.3390202698498337</v>
      </c>
      <c r="BK322" s="43">
        <f t="shared" si="307"/>
        <v>118.47421188121145</v>
      </c>
      <c r="BL322">
        <f t="shared" si="303"/>
        <v>-4.3887467329297998</v>
      </c>
      <c r="BM322" s="43">
        <f t="shared" si="304"/>
        <v>105.93428231014749</v>
      </c>
    </row>
    <row r="323" spans="14:65" x14ac:dyDescent="0.25">
      <c r="N323" s="9">
        <v>5</v>
      </c>
      <c r="O323" s="34">
        <f t="shared" si="308"/>
        <v>11220.184543019639</v>
      </c>
      <c r="P323" s="33" t="str">
        <f t="shared" si="257"/>
        <v>54,631621870174</v>
      </c>
      <c r="Q323" s="4" t="str">
        <f t="shared" si="258"/>
        <v>1+561,961177357949i</v>
      </c>
      <c r="R323" s="4">
        <f t="shared" si="270"/>
        <v>561.96206709842284</v>
      </c>
      <c r="S323" s="4">
        <f t="shared" si="271"/>
        <v>1.5690168463169314</v>
      </c>
      <c r="T323" s="4" t="str">
        <f t="shared" si="259"/>
        <v>1+1,40996997329089i</v>
      </c>
      <c r="U323" s="4">
        <f t="shared" si="272"/>
        <v>1.7285876678901515</v>
      </c>
      <c r="V323" s="4">
        <f t="shared" si="273"/>
        <v>0.9538992540157778</v>
      </c>
      <c r="W323" t="str">
        <f t="shared" si="260"/>
        <v>1-0,280537414107257i</v>
      </c>
      <c r="X323" s="4">
        <f t="shared" si="274"/>
        <v>1.0386054307165868</v>
      </c>
      <c r="Y323" s="4">
        <f t="shared" si="275"/>
        <v>-0.27350697746029312</v>
      </c>
      <c r="Z323" t="str">
        <f t="shared" si="261"/>
        <v>0,999496429835282+0,0385435716997743i</v>
      </c>
      <c r="AA323" s="4">
        <f t="shared" si="276"/>
        <v>1.0002393314466544</v>
      </c>
      <c r="AB323" s="4">
        <f t="shared" si="277"/>
        <v>3.8543892180194501E-2</v>
      </c>
      <c r="AC323" s="47" t="str">
        <f t="shared" si="278"/>
        <v>0,104712807543736-0,139580213557977i</v>
      </c>
      <c r="AD323" s="20">
        <f t="shared" si="279"/>
        <v>-15.164496719707357</v>
      </c>
      <c r="AE323" s="43">
        <f t="shared" si="280"/>
        <v>-53.122839766891914</v>
      </c>
      <c r="AF323" t="str">
        <f t="shared" si="262"/>
        <v>171,265703090588</v>
      </c>
      <c r="AG323" t="str">
        <f t="shared" si="263"/>
        <v>1+556,583199092041i</v>
      </c>
      <c r="AH323">
        <f t="shared" si="281"/>
        <v>556.58409742960725</v>
      </c>
      <c r="AI323">
        <f t="shared" si="282"/>
        <v>1.5689996521456837</v>
      </c>
      <c r="AJ323" t="str">
        <f t="shared" si="264"/>
        <v>1+1,40996997329089i</v>
      </c>
      <c r="AK323">
        <f t="shared" si="283"/>
        <v>1.7285876678901515</v>
      </c>
      <c r="AL323">
        <f t="shared" si="284"/>
        <v>0.9538992540157778</v>
      </c>
      <c r="AM323" t="str">
        <f t="shared" si="265"/>
        <v>1-0,0886314603559324i</v>
      </c>
      <c r="AN323">
        <f t="shared" si="285"/>
        <v>1.0039200843517502</v>
      </c>
      <c r="AO323">
        <f t="shared" si="286"/>
        <v>-8.840046559935355E-2</v>
      </c>
      <c r="AP323" s="41" t="str">
        <f t="shared" si="287"/>
        <v>0,40720848376211-0,345431151256837i</v>
      </c>
      <c r="AQ323">
        <f t="shared" si="288"/>
        <v>-5.4493967746828016</v>
      </c>
      <c r="AR323" s="43">
        <f t="shared" si="289"/>
        <v>-40.307630375494583</v>
      </c>
      <c r="AS323" t="str">
        <f t="shared" si="266"/>
        <v>-0,0000166666666666667</v>
      </c>
      <c r="AT323" t="str">
        <f t="shared" si="267"/>
        <v>0,000107298714967437i</v>
      </c>
      <c r="AU323">
        <f t="shared" si="290"/>
        <v>1.0729871496743699E-4</v>
      </c>
      <c r="AV323">
        <f t="shared" si="291"/>
        <v>1.5707963267948966</v>
      </c>
      <c r="AW323" t="str">
        <f t="shared" si="268"/>
        <v>1+0,336280617808537i</v>
      </c>
      <c r="AX323">
        <f t="shared" si="292"/>
        <v>1.0550282716182025</v>
      </c>
      <c r="AY323">
        <f t="shared" si="293"/>
        <v>0.32440076094038234</v>
      </c>
      <c r="AZ323" t="str">
        <f t="shared" si="269"/>
        <v>1+23,2645045592997i</v>
      </c>
      <c r="BA323">
        <f t="shared" si="294"/>
        <v>23.285986609754726</v>
      </c>
      <c r="BB323">
        <f t="shared" si="295"/>
        <v>1.5278388330583235</v>
      </c>
      <c r="BC323" s="41" t="str">
        <f t="shared" si="296"/>
        <v>-3,19960560203216+1,23129495036822i</v>
      </c>
      <c r="BD323">
        <f t="shared" si="297"/>
        <v>10.701695492473959</v>
      </c>
      <c r="BE323" s="43">
        <f t="shared" si="298"/>
        <v>158.95192243771839</v>
      </c>
      <c r="BF323" s="41" t="str">
        <f t="shared" si="299"/>
        <v>-0,163175273496198+0,57553398440043i</v>
      </c>
      <c r="BG323" s="20">
        <f t="shared" si="300"/>
        <v>-4.4628012272333972</v>
      </c>
      <c r="BH323" s="43">
        <f t="shared" si="301"/>
        <v>105.82908267082644</v>
      </c>
      <c r="BI323" s="41" t="str">
        <f t="shared" si="306"/>
        <v>-0,877578913597845+1,60663719648118i</v>
      </c>
      <c r="BJ323" s="20">
        <f t="shared" si="302"/>
        <v>5.2522987177911604</v>
      </c>
      <c r="BK323" s="43">
        <f t="shared" si="307"/>
        <v>118.64429206222378</v>
      </c>
      <c r="BL323">
        <f t="shared" si="303"/>
        <v>-4.4628012272333972</v>
      </c>
      <c r="BM323" s="43">
        <f t="shared" si="304"/>
        <v>105.82908267082644</v>
      </c>
    </row>
    <row r="324" spans="14:65" x14ac:dyDescent="0.25">
      <c r="N324" s="9">
        <v>6</v>
      </c>
      <c r="O324" s="34">
        <f t="shared" si="308"/>
        <v>11481.536214968832</v>
      </c>
      <c r="P324" s="33" t="str">
        <f t="shared" si="257"/>
        <v>54,631621870174</v>
      </c>
      <c r="Q324" s="4" t="str">
        <f t="shared" si="258"/>
        <v>1+575,050934724231i</v>
      </c>
      <c r="R324" s="4">
        <f t="shared" si="270"/>
        <v>575.05180421176988</v>
      </c>
      <c r="S324" s="4">
        <f t="shared" si="271"/>
        <v>1.5690573521552529</v>
      </c>
      <c r="T324" s="4" t="str">
        <f t="shared" si="259"/>
        <v>1+1,44281239299485i</v>
      </c>
      <c r="U324" s="4">
        <f t="shared" si="272"/>
        <v>1.7554793081604594</v>
      </c>
      <c r="V324" s="4">
        <f t="shared" si="273"/>
        <v>0.96472247437516023</v>
      </c>
      <c r="W324" t="str">
        <f t="shared" si="260"/>
        <v>1-0,28707196992852i</v>
      </c>
      <c r="X324" s="4">
        <f t="shared" si="274"/>
        <v>1.0403895020225076</v>
      </c>
      <c r="Y324" s="4">
        <f t="shared" si="275"/>
        <v>-0.27955442582594159</v>
      </c>
      <c r="Z324" t="str">
        <f t="shared" si="261"/>
        <v>0,999472697304577+0,0394413668178498i</v>
      </c>
      <c r="AA324" s="4">
        <f t="shared" si="276"/>
        <v>1.0002506156327755</v>
      </c>
      <c r="AB324" s="4">
        <f t="shared" si="277"/>
        <v>3.9441710115484307E-2</v>
      </c>
      <c r="AC324" s="47" t="str">
        <f t="shared" si="278"/>
        <v>0,104630255579658-0,138360904542259i</v>
      </c>
      <c r="AD324" s="20">
        <f t="shared" si="279"/>
        <v>-15.215600556448415</v>
      </c>
      <c r="AE324" s="43">
        <f t="shared" si="280"/>
        <v>-52.902970179778841</v>
      </c>
      <c r="AF324" t="str">
        <f t="shared" si="262"/>
        <v>171,265703090588</v>
      </c>
      <c r="AG324" t="str">
        <f t="shared" si="263"/>
        <v>1+569,54768725209i</v>
      </c>
      <c r="AH324">
        <f t="shared" si="281"/>
        <v>569.54856514102858</v>
      </c>
      <c r="AI324">
        <f t="shared" si="282"/>
        <v>1.5690405493687083</v>
      </c>
      <c r="AJ324" t="str">
        <f t="shared" si="264"/>
        <v>1+1,44281239299485i</v>
      </c>
      <c r="AK324">
        <f t="shared" si="283"/>
        <v>1.7554793081604594</v>
      </c>
      <c r="AL324">
        <f t="shared" si="284"/>
        <v>0.96472247437516023</v>
      </c>
      <c r="AM324" t="str">
        <f t="shared" si="265"/>
        <v>1-0,0906959522778352i</v>
      </c>
      <c r="AN324">
        <f t="shared" si="285"/>
        <v>1.0041044546059854</v>
      </c>
      <c r="AO324">
        <f t="shared" si="286"/>
        <v>-9.0448491548120874E-2</v>
      </c>
      <c r="AP324" s="41" t="str">
        <f t="shared" si="287"/>
        <v>0,407183660485225-0,339339236457296i</v>
      </c>
      <c r="AQ324">
        <f t="shared" si="288"/>
        <v>-5.5137150341845365</v>
      </c>
      <c r="AR324" s="43">
        <f t="shared" si="289"/>
        <v>-39.807192009632757</v>
      </c>
      <c r="AS324" t="str">
        <f t="shared" si="266"/>
        <v>-0,0000166666666666667</v>
      </c>
      <c r="AT324" t="str">
        <f t="shared" si="267"/>
        <v>0,000109798023106908i</v>
      </c>
      <c r="AU324">
        <f t="shared" si="290"/>
        <v>1.09798023106908E-4</v>
      </c>
      <c r="AV324">
        <f t="shared" si="291"/>
        <v>1.5707963267948966</v>
      </c>
      <c r="AW324" t="str">
        <f t="shared" si="268"/>
        <v>1+0,344113599643318i</v>
      </c>
      <c r="AX324">
        <f t="shared" si="292"/>
        <v>1.057551024518194</v>
      </c>
      <c r="AY324">
        <f t="shared" si="293"/>
        <v>0.33142121592511004</v>
      </c>
      <c r="AZ324" t="str">
        <f t="shared" si="269"/>
        <v>1+23,806404484415i</v>
      </c>
      <c r="BA324">
        <f t="shared" si="294"/>
        <v>23.827397979543942</v>
      </c>
      <c r="BB324">
        <f t="shared" si="295"/>
        <v>1.5288155031708994</v>
      </c>
      <c r="BC324" s="41" t="str">
        <f t="shared" si="296"/>
        <v>-3,18435870310861+1,24757500425123i</v>
      </c>
      <c r="BD324">
        <f t="shared" si="297"/>
        <v>10.680590344853231</v>
      </c>
      <c r="BE324" s="43">
        <f t="shared" si="298"/>
        <v>158.60563907225915</v>
      </c>
      <c r="BF324" s="41" t="str">
        <f t="shared" si="299"/>
        <v>-0,160564658891049+0,571124842098721i</v>
      </c>
      <c r="BG324" s="20">
        <f t="shared" si="300"/>
        <v>-4.5350102115951838</v>
      </c>
      <c r="BH324" s="43">
        <f t="shared" si="301"/>
        <v>105.7026688924803</v>
      </c>
      <c r="BI324" s="41" t="str">
        <f t="shared" si="306"/>
        <v>-0,873267683663927+1,58857000787991i</v>
      </c>
      <c r="BJ324" s="20">
        <f t="shared" si="302"/>
        <v>5.1668753106687078</v>
      </c>
      <c r="BK324" s="43">
        <f t="shared" si="307"/>
        <v>118.79844706262638</v>
      </c>
      <c r="BL324">
        <f t="shared" si="303"/>
        <v>-4.5350102115951838</v>
      </c>
      <c r="BM324" s="43">
        <f t="shared" si="304"/>
        <v>105.7026688924803</v>
      </c>
    </row>
    <row r="325" spans="14:65" x14ac:dyDescent="0.25">
      <c r="N325" s="9">
        <v>7</v>
      </c>
      <c r="O325" s="34">
        <f t="shared" si="308"/>
        <v>11748.975549395318</v>
      </c>
      <c r="P325" s="33" t="str">
        <f t="shared" si="257"/>
        <v>54,631621870174</v>
      </c>
      <c r="Q325" s="4" t="str">
        <f t="shared" si="258"/>
        <v>1+588,445591707804i</v>
      </c>
      <c r="R325" s="4">
        <f t="shared" si="270"/>
        <v>588.44644140341916</v>
      </c>
      <c r="S325" s="4">
        <f t="shared" si="271"/>
        <v>1.5690969359736406</v>
      </c>
      <c r="T325" s="4" t="str">
        <f t="shared" si="259"/>
        <v>1+1,47641981092746i</v>
      </c>
      <c r="U325" s="4">
        <f t="shared" si="272"/>
        <v>1.7832037062823407</v>
      </c>
      <c r="V325" s="4">
        <f t="shared" si="273"/>
        <v>0.97545858102379013</v>
      </c>
      <c r="W325" t="str">
        <f t="shared" si="260"/>
        <v>1-0,293758735108087i</v>
      </c>
      <c r="X325" s="4">
        <f t="shared" si="274"/>
        <v>1.0422543808746036</v>
      </c>
      <c r="Y325" s="4">
        <f t="shared" si="275"/>
        <v>-0.28572107347303904</v>
      </c>
      <c r="Z325" t="str">
        <f t="shared" si="261"/>
        <v>0,999447846294159+0,0403600742706805i</v>
      </c>
      <c r="AA325" s="4">
        <f t="shared" si="276"/>
        <v>1.000262432093282</v>
      </c>
      <c r="AB325" s="4">
        <f t="shared" si="277"/>
        <v>4.0360442004796951E-2</v>
      </c>
      <c r="AC325" s="47" t="str">
        <f t="shared" si="278"/>
        <v>0,104544532524527-0,13721477438975i</v>
      </c>
      <c r="AD325" s="20">
        <f t="shared" si="279"/>
        <v>-15.264042350358144</v>
      </c>
      <c r="AE325" s="43">
        <f t="shared" si="280"/>
        <v>-52.696066909825269</v>
      </c>
      <c r="AF325" t="str">
        <f t="shared" si="262"/>
        <v>171,265703090588</v>
      </c>
      <c r="AG325" t="str">
        <f t="shared" si="263"/>
        <v>1+582,814157134775i</v>
      </c>
      <c r="AH325">
        <f t="shared" si="281"/>
        <v>582.81501504055143</v>
      </c>
      <c r="AI325">
        <f t="shared" si="282"/>
        <v>1.569080515662957</v>
      </c>
      <c r="AJ325" t="str">
        <f t="shared" si="264"/>
        <v>1+1,47641981092746i</v>
      </c>
      <c r="AK325">
        <f t="shared" si="283"/>
        <v>1.7832037062823407</v>
      </c>
      <c r="AL325">
        <f t="shared" si="284"/>
        <v>0.97545858102379013</v>
      </c>
      <c r="AM325" t="str">
        <f t="shared" si="265"/>
        <v>1-0,0928085323941386i</v>
      </c>
      <c r="AN325">
        <f t="shared" si="285"/>
        <v>1.0042974776853488</v>
      </c>
      <c r="AO325">
        <f t="shared" si="286"/>
        <v>-9.2543434687007819E-2</v>
      </c>
      <c r="AP325" s="41" t="str">
        <f t="shared" si="287"/>
        <v>0,407159954433108-0,333427239888358i</v>
      </c>
      <c r="AQ325">
        <f t="shared" si="288"/>
        <v>-5.5759400016848364</v>
      </c>
      <c r="AR325" s="43">
        <f t="shared" si="289"/>
        <v>-39.314379710425243</v>
      </c>
      <c r="AS325" t="str">
        <f t="shared" si="266"/>
        <v>-0,0000166666666666667</v>
      </c>
      <c r="AT325" t="str">
        <f t="shared" si="267"/>
        <v>0,00011235554761158i</v>
      </c>
      <c r="AU325">
        <f t="shared" si="290"/>
        <v>1.1235554761158E-4</v>
      </c>
      <c r="AV325">
        <f t="shared" si="291"/>
        <v>1.5707963267948966</v>
      </c>
      <c r="AW325" t="str">
        <f t="shared" si="268"/>
        <v>1+0,352129035063513i</v>
      </c>
      <c r="AX325">
        <f t="shared" si="292"/>
        <v>1.060186237099294</v>
      </c>
      <c r="AY325">
        <f t="shared" si="293"/>
        <v>0.33857024932971158</v>
      </c>
      <c r="AZ325" t="str">
        <f t="shared" si="269"/>
        <v>1+24,3609268803031i</v>
      </c>
      <c r="BA325">
        <f t="shared" si="294"/>
        <v>24.381442911925337</v>
      </c>
      <c r="BB325">
        <f t="shared" si="295"/>
        <v>1.5297700189987762</v>
      </c>
      <c r="BC325" s="41" t="str">
        <f t="shared" si="296"/>
        <v>-3,16854821083721+1,26407644211738i</v>
      </c>
      <c r="BD325">
        <f t="shared" si="297"/>
        <v>10.658629412839893</v>
      </c>
      <c r="BE325" s="43">
        <f t="shared" si="298"/>
        <v>158.25071935899322</v>
      </c>
      <c r="BF325" s="41" t="str">
        <f t="shared" si="299"/>
        <v>-0,157804427666868+0,566923908609503i</v>
      </c>
      <c r="BG325" s="20">
        <f t="shared" si="300"/>
        <v>-4.6054129375182455</v>
      </c>
      <c r="BH325" s="43">
        <f t="shared" si="301"/>
        <v>105.5546524491679</v>
      </c>
      <c r="BI325" s="41" t="str">
        <f t="shared" si="306"/>
        <v>-0,86862842604049+1,57116159096512i</v>
      </c>
      <c r="BJ325" s="20">
        <f t="shared" si="302"/>
        <v>5.0826894111550427</v>
      </c>
      <c r="BK325" s="43">
        <f t="shared" si="307"/>
        <v>118.93633964856801</v>
      </c>
      <c r="BL325">
        <f t="shared" si="303"/>
        <v>-4.6054129375182455</v>
      </c>
      <c r="BM325" s="43">
        <f t="shared" si="304"/>
        <v>105.5546524491679</v>
      </c>
    </row>
    <row r="326" spans="14:65" x14ac:dyDescent="0.25">
      <c r="N326" s="9">
        <v>8</v>
      </c>
      <c r="O326" s="34">
        <f t="shared" si="308"/>
        <v>12022.644346174151</v>
      </c>
      <c r="P326" s="33" t="str">
        <f t="shared" si="257"/>
        <v>54,631621870174</v>
      </c>
      <c r="Q326" s="4" t="str">
        <f t="shared" si="258"/>
        <v>1+602,152250333097i</v>
      </c>
      <c r="R326" s="4">
        <f t="shared" si="270"/>
        <v>602.15308068730553</v>
      </c>
      <c r="S326" s="4">
        <f t="shared" si="271"/>
        <v>1.5691356187594627</v>
      </c>
      <c r="T326" s="4" t="str">
        <f t="shared" si="259"/>
        <v>1+1,51081004618654i</v>
      </c>
      <c r="U326" s="4">
        <f t="shared" si="272"/>
        <v>1.811780062716823</v>
      </c>
      <c r="V326" s="4">
        <f t="shared" si="273"/>
        <v>0.98610336651547881</v>
      </c>
      <c r="W326" t="str">
        <f t="shared" si="260"/>
        <v>1-0,300601255057363i</v>
      </c>
      <c r="X326" s="4">
        <f t="shared" si="274"/>
        <v>1.0442035790697433</v>
      </c>
      <c r="Y326" s="4">
        <f t="shared" si="275"/>
        <v>-0.2920083132992955</v>
      </c>
      <c r="Z326" t="str">
        <f t="shared" si="261"/>
        <v>0,999421824091702+0,0413001811691181i</v>
      </c>
      <c r="AA326" s="4">
        <f t="shared" si="276"/>
        <v>1.000274805958536</v>
      </c>
      <c r="AB326" s="4">
        <f t="shared" si="277"/>
        <v>4.1300575073255838E-2</v>
      </c>
      <c r="AC326" s="47" t="str">
        <f t="shared" si="278"/>
        <v>0,10445545704246-0,13614120257048i</v>
      </c>
      <c r="AD326" s="20">
        <f t="shared" si="279"/>
        <v>-15.309829908568716</v>
      </c>
      <c r="AE326" s="43">
        <f t="shared" si="280"/>
        <v>-52.502479951531406</v>
      </c>
      <c r="AF326" t="str">
        <f t="shared" si="262"/>
        <v>171,265703090588</v>
      </c>
      <c r="AG326" t="str">
        <f t="shared" si="263"/>
        <v>1+596,389642798029i</v>
      </c>
      <c r="AH326">
        <f t="shared" si="281"/>
        <v>596.39048117551351</v>
      </c>
      <c r="AI326">
        <f t="shared" si="282"/>
        <v>1.5691195722185771</v>
      </c>
      <c r="AJ326" t="str">
        <f t="shared" si="264"/>
        <v>1+1,51081004618654i</v>
      </c>
      <c r="AK326">
        <f t="shared" si="283"/>
        <v>1.811780062716823</v>
      </c>
      <c r="AL326">
        <f t="shared" si="284"/>
        <v>0.98610336651547881</v>
      </c>
      <c r="AM326" t="str">
        <f t="shared" si="265"/>
        <v>1-0,0949703208227833i</v>
      </c>
      <c r="AN326">
        <f t="shared" si="285"/>
        <v>1.0044995579079079</v>
      </c>
      <c r="AO326">
        <f t="shared" si="286"/>
        <v>-9.4686332187885122E-2</v>
      </c>
      <c r="AP326" s="41" t="str">
        <f t="shared" si="287"/>
        <v>0,407137315322949-0,327692027193112i</v>
      </c>
      <c r="AQ326">
        <f t="shared" si="288"/>
        <v>-5.6361015037057633</v>
      </c>
      <c r="AR326" s="43">
        <f t="shared" si="289"/>
        <v>-38.829495186458033</v>
      </c>
      <c r="AS326" t="str">
        <f t="shared" si="266"/>
        <v>-0,0000166666666666667</v>
      </c>
      <c r="AT326" t="str">
        <f t="shared" si="267"/>
        <v>0,000114972644514796i</v>
      </c>
      <c r="AU326">
        <f t="shared" si="290"/>
        <v>1.1497264451479599E-4</v>
      </c>
      <c r="AV326">
        <f t="shared" si="291"/>
        <v>1.5707963267948966</v>
      </c>
      <c r="AW326" t="str">
        <f t="shared" si="268"/>
        <v>1+0,360331173959077i</v>
      </c>
      <c r="AX326">
        <f t="shared" si="292"/>
        <v>1.0629386411861819</v>
      </c>
      <c r="AY326">
        <f t="shared" si="293"/>
        <v>0.34584872771328073</v>
      </c>
      <c r="AZ326" t="str">
        <f t="shared" si="269"/>
        <v>1+24,9283657620779i</v>
      </c>
      <c r="BA326">
        <f t="shared" si="294"/>
        <v>24.94841517146806</v>
      </c>
      <c r="BB326">
        <f t="shared" si="295"/>
        <v>1.5307028796776363</v>
      </c>
      <c r="BC326" s="41" t="str">
        <f t="shared" si="296"/>
        <v>-3,15215999548647+1,28078353057639i</v>
      </c>
      <c r="BD326">
        <f t="shared" si="297"/>
        <v>10.635779922455731</v>
      </c>
      <c r="BE326" s="43">
        <f t="shared" si="298"/>
        <v>157.88714224610985</v>
      </c>
      <c r="BF326" s="41" t="str">
        <f t="shared" si="299"/>
        <v>-0,154892902914363+0,562923681538899i</v>
      </c>
      <c r="BG326" s="20">
        <f t="shared" si="300"/>
        <v>-4.6740499861129896</v>
      </c>
      <c r="BH326" s="43">
        <f t="shared" si="301"/>
        <v>105.38466229457845</v>
      </c>
      <c r="BI326" s="41" t="str">
        <f t="shared" si="306"/>
        <v>-0,863659406500632+1,55439246710671i</v>
      </c>
      <c r="BJ326" s="20">
        <f t="shared" si="302"/>
        <v>4.999678418749955</v>
      </c>
      <c r="BK326" s="43">
        <f t="shared" si="307"/>
        <v>119.05764705965184</v>
      </c>
      <c r="BL326">
        <f t="shared" si="303"/>
        <v>-4.6740499861129896</v>
      </c>
      <c r="BM326" s="43">
        <f t="shared" si="304"/>
        <v>105.38466229457845</v>
      </c>
    </row>
    <row r="327" spans="14:65" x14ac:dyDescent="0.25">
      <c r="N327" s="9">
        <v>9</v>
      </c>
      <c r="O327" s="34">
        <f t="shared" si="308"/>
        <v>12302.687708123816</v>
      </c>
      <c r="P327" s="33" t="str">
        <f t="shared" si="257"/>
        <v>54,631621870174</v>
      </c>
      <c r="Q327" s="4" t="str">
        <f t="shared" si="258"/>
        <v>1+616,178178051945i</v>
      </c>
      <c r="R327" s="4">
        <f t="shared" si="270"/>
        <v>616.17898950500933</v>
      </c>
      <c r="S327" s="4">
        <f t="shared" si="271"/>
        <v>1.5691734210223807</v>
      </c>
      <c r="T327" s="4" t="str">
        <f t="shared" si="259"/>
        <v>1+1,54600133293005i</v>
      </c>
      <c r="U327" s="4">
        <f t="shared" si="272"/>
        <v>1.8412278841635794</v>
      </c>
      <c r="V327" s="4">
        <f t="shared" si="273"/>
        <v>0.99665282537194344</v>
      </c>
      <c r="W327" t="str">
        <f t="shared" si="260"/>
        <v>1-0,307603157770999i</v>
      </c>
      <c r="X327" s="4">
        <f t="shared" si="274"/>
        <v>1.0462407479498637</v>
      </c>
      <c r="Y327" s="4">
        <f t="shared" si="275"/>
        <v>-0.2984174898877201</v>
      </c>
      <c r="Z327" t="str">
        <f t="shared" si="261"/>
        <v>0,999394575500625+0,0422621859702841i</v>
      </c>
      <c r="AA327" s="4">
        <f t="shared" si="276"/>
        <v>1.0002877635476011</v>
      </c>
      <c r="AB327" s="4">
        <f t="shared" si="277"/>
        <v>4.2262607900239328E-2</v>
      </c>
      <c r="AC327" s="47" t="str">
        <f t="shared" si="278"/>
        <v>0,104362840734267-0,135139606097304i</v>
      </c>
      <c r="AD327" s="20">
        <f t="shared" si="279"/>
        <v>-15.352971482951451</v>
      </c>
      <c r="AE327" s="43">
        <f t="shared" si="280"/>
        <v>-52.322545582440341</v>
      </c>
      <c r="AF327" t="str">
        <f t="shared" si="262"/>
        <v>171,265703090588</v>
      </c>
      <c r="AG327" t="str">
        <f t="shared" si="263"/>
        <v>1+610,281342144045i</v>
      </c>
      <c r="AH327">
        <f t="shared" si="281"/>
        <v>610.28216143775398</v>
      </c>
      <c r="AI327">
        <f t="shared" si="282"/>
        <v>1.5691577397433942</v>
      </c>
      <c r="AJ327" t="str">
        <f t="shared" si="264"/>
        <v>1+1,54600133293005i</v>
      </c>
      <c r="AK327">
        <f t="shared" si="283"/>
        <v>1.8412278841635794</v>
      </c>
      <c r="AL327">
        <f t="shared" si="284"/>
        <v>0.99665282537194344</v>
      </c>
      <c r="AM327" t="str">
        <f t="shared" si="265"/>
        <v>1-0,097182463772609i</v>
      </c>
      <c r="AN327">
        <f t="shared" si="285"/>
        <v>1.0047111183145703</v>
      </c>
      <c r="AO327">
        <f t="shared" si="286"/>
        <v>-9.687824147830694E-2</v>
      </c>
      <c r="AP327" s="41" t="str">
        <f t="shared" si="287"/>
        <v>0,407115695134995-0,322130557730319i</v>
      </c>
      <c r="AQ327">
        <f t="shared" si="288"/>
        <v>-5.6942304455678183</v>
      </c>
      <c r="AR327" s="43">
        <f t="shared" si="289"/>
        <v>-38.352829707338891</v>
      </c>
      <c r="AS327" t="str">
        <f t="shared" si="266"/>
        <v>-0,0000166666666666667</v>
      </c>
      <c r="AT327" t="str">
        <f t="shared" si="267"/>
        <v>0,000117650701435977i</v>
      </c>
      <c r="AU327">
        <f t="shared" si="290"/>
        <v>1.17650701435977E-4</v>
      </c>
      <c r="AV327">
        <f t="shared" si="291"/>
        <v>1.5707963267948966</v>
      </c>
      <c r="AW327" t="str">
        <f t="shared" si="268"/>
        <v>1+0,36872436521262i</v>
      </c>
      <c r="AX327">
        <f t="shared" si="292"/>
        <v>1.0658131438021627</v>
      </c>
      <c r="AY327">
        <f t="shared" si="293"/>
        <v>0.35325742457505105</v>
      </c>
      <c r="AZ327" t="str">
        <f t="shared" si="269"/>
        <v>1+25,5090219933458i</v>
      </c>
      <c r="BA327">
        <f t="shared" si="294"/>
        <v>25.528615376808037</v>
      </c>
      <c r="BB327">
        <f t="shared" si="295"/>
        <v>1.5316145733244373</v>
      </c>
      <c r="BC327" s="41" t="str">
        <f t="shared" si="296"/>
        <v>-3,13518014573861+1,29767958955466i</v>
      </c>
      <c r="BD327">
        <f t="shared" si="297"/>
        <v>10.612008344585915</v>
      </c>
      <c r="BE327" s="43">
        <f t="shared" si="298"/>
        <v>157.51489138240925</v>
      </c>
      <c r="BF327" s="41" t="str">
        <f t="shared" si="299"/>
        <v>-0,151828397650027+0,559116538268006i</v>
      </c>
      <c r="BG327" s="20">
        <f t="shared" si="300"/>
        <v>-4.7409631383655331</v>
      </c>
      <c r="BH327" s="43">
        <f t="shared" si="301"/>
        <v>105.1923457999689</v>
      </c>
      <c r="BI327" s="41" t="str">
        <f t="shared" si="306"/>
        <v>-0,858358794467315+1,53824305709584i</v>
      </c>
      <c r="BJ327" s="20">
        <f t="shared" si="302"/>
        <v>4.9177778990180911</v>
      </c>
      <c r="BK327" s="43">
        <f t="shared" si="307"/>
        <v>119.16206167507033</v>
      </c>
      <c r="BL327">
        <f t="shared" si="303"/>
        <v>-4.7409631383655331</v>
      </c>
      <c r="BM327" s="43">
        <f t="shared" si="304"/>
        <v>105.1923457999689</v>
      </c>
    </row>
    <row r="328" spans="14:65" x14ac:dyDescent="0.25">
      <c r="N328" s="9">
        <v>10</v>
      </c>
      <c r="O328" s="34">
        <f t="shared" si="308"/>
        <v>12589.254117941671</v>
      </c>
      <c r="P328" s="33" t="str">
        <f t="shared" si="257"/>
        <v>54,631621870174</v>
      </c>
      <c r="Q328" s="4" t="str">
        <f t="shared" si="258"/>
        <v>1+630,530811596877i</v>
      </c>
      <c r="R328" s="4">
        <f t="shared" si="270"/>
        <v>630.53160457903812</v>
      </c>
      <c r="S328" s="4">
        <f t="shared" si="271"/>
        <v>1.5692103628052225</v>
      </c>
      <c r="T328" s="4" t="str">
        <f t="shared" si="259"/>
        <v>1+1,58201233004402i</v>
      </c>
      <c r="U328" s="4">
        <f t="shared" si="272"/>
        <v>1.8715669938346611</v>
      </c>
      <c r="V328" s="4">
        <f t="shared" si="273"/>
        <v>1.0071031584023906</v>
      </c>
      <c r="W328" t="str">
        <f t="shared" si="260"/>
        <v>1-0,314768155750494i</v>
      </c>
      <c r="X328" s="4">
        <f t="shared" si="274"/>
        <v>1.0483696828288041</v>
      </c>
      <c r="Y328" s="4">
        <f t="shared" si="275"/>
        <v>-0.30494989450556276</v>
      </c>
      <c r="Z328" t="str">
        <f t="shared" si="261"/>
        <v>0,999366042723016+0,0432465987418576i</v>
      </c>
      <c r="AA328" s="4">
        <f t="shared" si="276"/>
        <v>1.0003013324246852</v>
      </c>
      <c r="AB328" s="4">
        <f t="shared" si="277"/>
        <v>4.3247050684216637E-2</v>
      </c>
      <c r="AC328" s="47" t="str">
        <f t="shared" si="278"/>
        <v>0,104266487742426-0,13420943915122i</v>
      </c>
      <c r="AD328" s="20">
        <f t="shared" si="279"/>
        <v>-15.393475650284728</v>
      </c>
      <c r="AE328" s="43">
        <f t="shared" si="280"/>
        <v>-52.156585844902125</v>
      </c>
      <c r="AF328" t="str">
        <f t="shared" si="262"/>
        <v>171,265703090588</v>
      </c>
      <c r="AG328" t="str">
        <f t="shared" si="263"/>
        <v>1+624,496620735693i</v>
      </c>
      <c r="AH328">
        <f t="shared" si="281"/>
        <v>624.49742138002455</v>
      </c>
      <c r="AI328">
        <f t="shared" si="282"/>
        <v>1.5691950384738906</v>
      </c>
      <c r="AJ328" t="str">
        <f t="shared" si="264"/>
        <v>1+1,58201233004402i</v>
      </c>
      <c r="AK328">
        <f t="shared" si="283"/>
        <v>1.8715669938346611</v>
      </c>
      <c r="AL328">
        <f t="shared" si="284"/>
        <v>1.0071031584023906</v>
      </c>
      <c r="AM328" t="str">
        <f t="shared" si="265"/>
        <v>1-0,099446134151089i</v>
      </c>
      <c r="AN328">
        <f t="shared" si="285"/>
        <v>1.0049326015199209</v>
      </c>
      <c r="AO328">
        <f t="shared" si="286"/>
        <v>-9.9120240443582502E-2</v>
      </c>
      <c r="AP328" s="41" t="str">
        <f t="shared" si="287"/>
        <v>0,40709504801068-0,316739882963381i</v>
      </c>
      <c r="AQ328">
        <f t="shared" si="288"/>
        <v>-5.7503586900901915</v>
      </c>
      <c r="AR328" s="43">
        <f t="shared" si="289"/>
        <v>-37.884663868409852</v>
      </c>
      <c r="AS328" t="str">
        <f t="shared" si="266"/>
        <v>-0,0000166666666666667</v>
      </c>
      <c r="AT328" t="str">
        <f t="shared" si="267"/>
        <v>0,00012039113831635i</v>
      </c>
      <c r="AU328">
        <f t="shared" si="290"/>
        <v>1.2039113831635E-4</v>
      </c>
      <c r="AV328">
        <f t="shared" si="291"/>
        <v>1.5707963267948966</v>
      </c>
      <c r="AW328" t="str">
        <f t="shared" si="268"/>
        <v>1+0,377313059005243i</v>
      </c>
      <c r="AX328">
        <f t="shared" si="292"/>
        <v>1.068814831715903</v>
      </c>
      <c r="AY328">
        <f t="shared" si="293"/>
        <v>0.36079701389336316</v>
      </c>
      <c r="AZ328" t="str">
        <f t="shared" si="269"/>
        <v>1+26,1032034457264i</v>
      </c>
      <c r="BA328">
        <f t="shared" si="294"/>
        <v>26.122351160050322</v>
      </c>
      <c r="BB328">
        <f t="shared" si="295"/>
        <v>1.5325055772654701</v>
      </c>
      <c r="BC328" s="41" t="str">
        <f t="shared" si="296"/>
        <v>-3,11759502761256+1,31474696990832i</v>
      </c>
      <c r="BD328">
        <f t="shared" si="297"/>
        <v>10.58728040743854</v>
      </c>
      <c r="BE328" s="43">
        <f t="shared" si="298"/>
        <v>157.13395550055876</v>
      </c>
      <c r="BF328" s="41" t="str">
        <f t="shared" si="299"/>
        <v>-0,148609230275252+0,555494728978851i</v>
      </c>
      <c r="BG328" s="20">
        <f t="shared" si="300"/>
        <v>-4.8061952428461918</v>
      </c>
      <c r="BH328" s="43">
        <f t="shared" si="301"/>
        <v>104.97736965565667</v>
      </c>
      <c r="BI328" s="41" t="str">
        <f t="shared" si="306"/>
        <v>-0,852724696068571+1,52269366500994i</v>
      </c>
      <c r="BJ328" s="20">
        <f t="shared" si="302"/>
        <v>4.8369217173483268</v>
      </c>
      <c r="BK328" s="43">
        <f t="shared" si="307"/>
        <v>119.24929163214897</v>
      </c>
      <c r="BL328">
        <f t="shared" si="303"/>
        <v>-4.8061952428461918</v>
      </c>
      <c r="BM328" s="43">
        <f t="shared" si="304"/>
        <v>104.97736965565667</v>
      </c>
    </row>
    <row r="329" spans="14:65" x14ac:dyDescent="0.25">
      <c r="N329" s="9">
        <v>11</v>
      </c>
      <c r="O329" s="34">
        <f t="shared" si="308"/>
        <v>12882.49551693136</v>
      </c>
      <c r="P329" s="33" t="str">
        <f t="shared" si="257"/>
        <v>54,631621870174</v>
      </c>
      <c r="Q329" s="4" t="str">
        <f t="shared" si="258"/>
        <v>1+645,217760924182i</v>
      </c>
      <c r="R329" s="4">
        <f t="shared" si="270"/>
        <v>645.21853585588724</v>
      </c>
      <c r="S329" s="4">
        <f t="shared" si="271"/>
        <v>1.5692464636946069</v>
      </c>
      <c r="T329" s="4" t="str">
        <f t="shared" si="259"/>
        <v>1+1,6188621310358i</v>
      </c>
      <c r="U329" s="4">
        <f t="shared" si="272"/>
        <v>1.9028175423045091</v>
      </c>
      <c r="V329" s="4">
        <f t="shared" si="273"/>
        <v>1.0174507760515923</v>
      </c>
      <c r="W329" t="str">
        <f t="shared" si="260"/>
        <v>1-0,322100047972618i</v>
      </c>
      <c r="X329" s="4">
        <f t="shared" si="274"/>
        <v>1.0505943274661076</v>
      </c>
      <c r="Y329" s="4">
        <f t="shared" si="275"/>
        <v>-0.31160675989283632</v>
      </c>
      <c r="Z329" t="str">
        <f t="shared" si="261"/>
        <v>0,999336165237025+0,0442539414325207i</v>
      </c>
      <c r="AA329" s="4">
        <f t="shared" si="276"/>
        <v>1.0003155414582718</v>
      </c>
      <c r="AB329" s="4">
        <f t="shared" si="277"/>
        <v>4.4254425513778298E-2</v>
      </c>
      <c r="AC329" s="47" t="str">
        <f t="shared" si="278"/>
        <v>0,104166194340694-0,133350192721673i</v>
      </c>
      <c r="AD329" s="20">
        <f t="shared" si="279"/>
        <v>-15.431351194024112</v>
      </c>
      <c r="AE329" s="43">
        <f t="shared" si="280"/>
        <v>-52.00490807178533</v>
      </c>
      <c r="AF329" t="str">
        <f t="shared" si="262"/>
        <v>171,265703090588</v>
      </c>
      <c r="AG329" t="str">
        <f t="shared" si="263"/>
        <v>1+639,043015701848i</v>
      </c>
      <c r="AH329">
        <f t="shared" si="281"/>
        <v>639.04379812131219</v>
      </c>
      <c r="AI329">
        <f t="shared" si="282"/>
        <v>1.5692314881859313</v>
      </c>
      <c r="AJ329" t="str">
        <f t="shared" si="264"/>
        <v>1+1,6188621310358i</v>
      </c>
      <c r="AK329">
        <f t="shared" si="283"/>
        <v>1.9028175423045091</v>
      </c>
      <c r="AL329">
        <f t="shared" si="284"/>
        <v>1.0174507760515923</v>
      </c>
      <c r="AM329" t="str">
        <f t="shared" si="265"/>
        <v>1-0,101762532186221i</v>
      </c>
      <c r="AN329">
        <f t="shared" si="285"/>
        <v>1.0051644706001859</v>
      </c>
      <c r="AO329">
        <f t="shared" si="286"/>
        <v>-0.10141342761538522</v>
      </c>
      <c r="AP329" s="41" t="str">
        <f t="shared" si="287"/>
        <v>0,407075330155381-0,311517144898082i</v>
      </c>
      <c r="AQ329">
        <f t="shared" si="288"/>
        <v>-5.8045189357474598</v>
      </c>
      <c r="AR329" s="43">
        <f t="shared" si="289"/>
        <v>-37.425267410337703</v>
      </c>
      <c r="AS329" t="str">
        <f t="shared" si="266"/>
        <v>-0,0000166666666666667</v>
      </c>
      <c r="AT329" t="str">
        <f t="shared" si="267"/>
        <v>0,000123195408171824i</v>
      </c>
      <c r="AU329">
        <f t="shared" si="290"/>
        <v>1.2319540817182399E-4</v>
      </c>
      <c r="AV329">
        <f t="shared" si="291"/>
        <v>1.5707963267948966</v>
      </c>
      <c r="AW329" t="str">
        <f t="shared" si="268"/>
        <v>1+0,386101809176081i</v>
      </c>
      <c r="AX329">
        <f t="shared" si="292"/>
        <v>1.0719489759540997</v>
      </c>
      <c r="AY329">
        <f t="shared" si="293"/>
        <v>0.36846806353540501</v>
      </c>
      <c r="AZ329" t="str">
        <f t="shared" si="269"/>
        <v>1+26,7112251620907i</v>
      </c>
      <c r="BA329">
        <f t="shared" si="294"/>
        <v>26.729937329891129</v>
      </c>
      <c r="BB329">
        <f t="shared" si="295"/>
        <v>1.5333763582607305</v>
      </c>
      <c r="BC329" s="41" t="str">
        <f t="shared" si="296"/>
        <v>-3,09939134704617+1,33196703402605i</v>
      </c>
      <c r="BD329">
        <f t="shared" si="297"/>
        <v>10.561561112479488</v>
      </c>
      <c r="BE329" s="43">
        <f t="shared" si="298"/>
        <v>156.74432880754281</v>
      </c>
      <c r="BF329" s="41" t="str">
        <f t="shared" si="299"/>
        <v>-0,145233740707988+0,552050370370248i</v>
      </c>
      <c r="BG329" s="20">
        <f t="shared" si="300"/>
        <v>-4.8697900815446191</v>
      </c>
      <c r="BH329" s="43">
        <f t="shared" si="301"/>
        <v>104.73942073575751</v>
      </c>
      <c r="BI329" s="41" t="str">
        <f t="shared" si="306"/>
        <v>-0,846755188341389+1,50772446348588i</v>
      </c>
      <c r="BJ329" s="20">
        <f t="shared" si="302"/>
        <v>4.757042176732023</v>
      </c>
      <c r="BK329" s="43">
        <f t="shared" si="307"/>
        <v>119.31906139720513</v>
      </c>
      <c r="BL329">
        <f t="shared" si="303"/>
        <v>-4.8697900815446191</v>
      </c>
      <c r="BM329" s="43">
        <f t="shared" si="304"/>
        <v>104.73942073575751</v>
      </c>
    </row>
    <row r="330" spans="14:65" x14ac:dyDescent="0.25">
      <c r="N330" s="9">
        <v>12</v>
      </c>
      <c r="O330" s="34">
        <f t="shared" si="308"/>
        <v>13182.567385564091</v>
      </c>
      <c r="P330" s="33" t="str">
        <f t="shared" si="257"/>
        <v>54,631621870174</v>
      </c>
      <c r="Q330" s="4" t="str">
        <f t="shared" si="258"/>
        <v>1+660,246813248794i</v>
      </c>
      <c r="R330" s="4">
        <f t="shared" si="270"/>
        <v>660.24757054092049</v>
      </c>
      <c r="S330" s="4">
        <f t="shared" si="271"/>
        <v>1.5692817428313264</v>
      </c>
      <c r="T330" s="4" t="str">
        <f t="shared" si="259"/>
        <v>1+1,65657027415762i</v>
      </c>
      <c r="U330" s="4">
        <f t="shared" si="272"/>
        <v>1.935000018920582</v>
      </c>
      <c r="V330" s="4">
        <f t="shared" si="273"/>
        <v>1.0276923007984777</v>
      </c>
      <c r="W330" t="str">
        <f t="shared" si="260"/>
        <v>1-0,329602721903675i</v>
      </c>
      <c r="X330" s="4">
        <f t="shared" si="274"/>
        <v>1.0529187785799583</v>
      </c>
      <c r="Y330" s="4">
        <f t="shared" si="275"/>
        <v>-0.3183892548441094</v>
      </c>
      <c r="Z330" t="str">
        <f t="shared" si="261"/>
        <v>0,9993048796685+0,0452847481487013i</v>
      </c>
      <c r="AA330" s="4">
        <f t="shared" si="276"/>
        <v>1.0003304208831032</v>
      </c>
      <c r="AB330" s="4">
        <f t="shared" si="277"/>
        <v>4.5285266645001883E-2</v>
      </c>
      <c r="AC330" s="47" t="str">
        <f t="shared" si="278"/>
        <v>0,104061748507505-0,132561394261302i</v>
      </c>
      <c r="AD330" s="20">
        <f t="shared" si="279"/>
        <v>-15.466606988542646</v>
      </c>
      <c r="AE330" s="43">
        <f t="shared" si="280"/>
        <v>-51.867804455093129</v>
      </c>
      <c r="AF330" t="str">
        <f t="shared" si="262"/>
        <v>171,265703090588</v>
      </c>
      <c r="AG330" t="str">
        <f t="shared" si="263"/>
        <v>1+653,928239733661i</v>
      </c>
      <c r="AH330">
        <f t="shared" si="281"/>
        <v>653.92900434310491</v>
      </c>
      <c r="AI330">
        <f t="shared" si="282"/>
        <v>1.5692671082052483</v>
      </c>
      <c r="AJ330" t="str">
        <f t="shared" si="264"/>
        <v>1+1,65657027415762i</v>
      </c>
      <c r="AK330">
        <f t="shared" si="283"/>
        <v>1.935000018920582</v>
      </c>
      <c r="AL330">
        <f t="shared" si="284"/>
        <v>1.0276923007984777</v>
      </c>
      <c r="AM330" t="str">
        <f t="shared" si="265"/>
        <v>1-0,104132886062905i</v>
      </c>
      <c r="AN330">
        <f t="shared" si="285"/>
        <v>1.0054072100197959</v>
      </c>
      <c r="AO330">
        <f t="shared" si="286"/>
        <v>-0.10375892234541978</v>
      </c>
      <c r="AP330" s="41" t="str">
        <f t="shared" si="287"/>
        <v>0,407056499745508-0,306459574568262i</v>
      </c>
      <c r="AQ330">
        <f t="shared" si="288"/>
        <v>-5.8567445949584265</v>
      </c>
      <c r="AR330" s="43">
        <f t="shared" si="289"/>
        <v>-36.974899092236534</v>
      </c>
      <c r="AS330" t="str">
        <f t="shared" si="266"/>
        <v>-0,0000166666666666667</v>
      </c>
      <c r="AT330" t="str">
        <f t="shared" si="267"/>
        <v>0,000126064997863395i</v>
      </c>
      <c r="AU330">
        <f t="shared" si="290"/>
        <v>1.26064997863395E-4</v>
      </c>
      <c r="AV330">
        <f t="shared" si="291"/>
        <v>1.5707963267948966</v>
      </c>
      <c r="AW330" t="str">
        <f t="shared" si="268"/>
        <v>1+0,395095275636805i</v>
      </c>
      <c r="AX330">
        <f t="shared" si="292"/>
        <v>1.0752210362667403</v>
      </c>
      <c r="AY330">
        <f t="shared" si="293"/>
        <v>0.37627102855824068</v>
      </c>
      <c r="AZ330" t="str">
        <f t="shared" si="269"/>
        <v>1+27,3334095236008i</v>
      </c>
      <c r="BA330">
        <f t="shared" si="294"/>
        <v>27.351696038543402</v>
      </c>
      <c r="BB330">
        <f t="shared" si="295"/>
        <v>1.5342273727245899</v>
      </c>
      <c r="BC330" s="41" t="str">
        <f t="shared" si="296"/>
        <v>-3,08055621607672+1,34932013983349i</v>
      </c>
      <c r="BD330">
        <f t="shared" si="297"/>
        <v>10.53481475404398</v>
      </c>
      <c r="BE330" s="43">
        <f t="shared" si="298"/>
        <v>156.34601138113004</v>
      </c>
      <c r="BF330" s="41" t="str">
        <f t="shared" si="299"/>
        <v>-0,141700307179425+0,548775440150915i</v>
      </c>
      <c r="BG330" s="20">
        <f t="shared" si="300"/>
        <v>-4.9317922344986638</v>
      </c>
      <c r="BH330" s="43">
        <f t="shared" si="301"/>
        <v>104.47820692603695</v>
      </c>
      <c r="BI330" s="41" t="str">
        <f t="shared" si="306"/>
        <v>-0,840448354575697+1,49331548056923i</v>
      </c>
      <c r="BJ330" s="20">
        <f t="shared" si="302"/>
        <v>4.6780701590855669</v>
      </c>
      <c r="BK330" s="43">
        <f t="shared" si="307"/>
        <v>119.37111228889341</v>
      </c>
      <c r="BL330">
        <f t="shared" si="303"/>
        <v>-4.9317922344986638</v>
      </c>
      <c r="BM330" s="43">
        <f t="shared" si="304"/>
        <v>104.47820692603695</v>
      </c>
    </row>
    <row r="331" spans="14:65" x14ac:dyDescent="0.25">
      <c r="N331" s="9">
        <v>13</v>
      </c>
      <c r="O331" s="34">
        <f t="shared" si="308"/>
        <v>13489.628825916556</v>
      </c>
      <c r="P331" s="33" t="str">
        <f t="shared" si="257"/>
        <v>54,631621870174</v>
      </c>
      <c r="Q331" s="4" t="str">
        <f t="shared" si="258"/>
        <v>1+675,625937173191i</v>
      </c>
      <c r="R331" s="4">
        <f t="shared" si="270"/>
        <v>675.62667722726326</v>
      </c>
      <c r="S331" s="4">
        <f t="shared" si="271"/>
        <v>1.5693162189204948</v>
      </c>
      <c r="T331" s="4" t="str">
        <f t="shared" si="259"/>
        <v>1+1,6951567527661i</v>
      </c>
      <c r="U331" s="4">
        <f t="shared" si="272"/>
        <v>1.968135263758187</v>
      </c>
      <c r="V331" s="4">
        <f t="shared" si="273"/>
        <v>1.0378245686340206</v>
      </c>
      <c r="W331" t="str">
        <f t="shared" si="260"/>
        <v>1-0,337280155560693i</v>
      </c>
      <c r="X331" s="4">
        <f t="shared" si="274"/>
        <v>1.0553472903907251</v>
      </c>
      <c r="Y331" s="4">
        <f t="shared" si="275"/>
        <v>-0.32529847858893196</v>
      </c>
      <c r="Z331" t="str">
        <f t="shared" si="261"/>
        <v>0,999272119656556+0,0463395654377649i</v>
      </c>
      <c r="AA331" s="4">
        <f t="shared" si="276"/>
        <v>1.0003460023651154</v>
      </c>
      <c r="AB331" s="4">
        <f t="shared" si="277"/>
        <v>4.634012078530847E-2</v>
      </c>
      <c r="AC331" s="47" t="str">
        <f t="shared" si="278"/>
        <v>0,103952929482308-0,131842607354608i</v>
      </c>
      <c r="AD331" s="20">
        <f t="shared" si="279"/>
        <v>-15.499251886674601</v>
      </c>
      <c r="AE331" s="43">
        <f t="shared" si="280"/>
        <v>-51.745551656155229</v>
      </c>
      <c r="AF331" t="str">
        <f t="shared" si="262"/>
        <v>171,265703090588</v>
      </c>
      <c r="AG331" t="str">
        <f t="shared" si="263"/>
        <v>1+669,160185173944i</v>
      </c>
      <c r="AH331">
        <f t="shared" si="281"/>
        <v>669.16093237877158</v>
      </c>
      <c r="AI331">
        <f t="shared" si="282"/>
        <v>1.5693019174176857</v>
      </c>
      <c r="AJ331" t="str">
        <f t="shared" si="264"/>
        <v>1+1,6951567527661i</v>
      </c>
      <c r="AK331">
        <f t="shared" si="283"/>
        <v>1.968135263758187</v>
      </c>
      <c r="AL331">
        <f t="shared" si="284"/>
        <v>1.0378245686340206</v>
      </c>
      <c r="AM331" t="str">
        <f t="shared" si="265"/>
        <v>1-0,106558452574141i</v>
      </c>
      <c r="AN331">
        <f t="shared" si="285"/>
        <v>1.0056613265980727</v>
      </c>
      <c r="AO331">
        <f t="shared" si="286"/>
        <v>-0.10615786496255987</v>
      </c>
      <c r="AP331" s="41" t="str">
        <f t="shared" si="287"/>
        <v>0,407038516839814-0,301564490568618i</v>
      </c>
      <c r="AQ331">
        <f t="shared" si="288"/>
        <v>-5.9070696731422814</v>
      </c>
      <c r="AR331" s="43">
        <f t="shared" si="289"/>
        <v>-36.533806616580847</v>
      </c>
      <c r="AS331" t="str">
        <f t="shared" si="266"/>
        <v>-0,0000166666666666667</v>
      </c>
      <c r="AT331" t="str">
        <f t="shared" si="267"/>
        <v>0,0001290014288855i</v>
      </c>
      <c r="AU331">
        <f t="shared" si="290"/>
        <v>1.2900142888550001E-4</v>
      </c>
      <c r="AV331">
        <f t="shared" si="291"/>
        <v>1.5707963267948966</v>
      </c>
      <c r="AW331" t="str">
        <f t="shared" si="268"/>
        <v>1+0,404298226842375i</v>
      </c>
      <c r="AX331">
        <f t="shared" si="292"/>
        <v>1.0786366655310251</v>
      </c>
      <c r="AY331">
        <f t="shared" si="293"/>
        <v>0.38420624442436879</v>
      </c>
      <c r="AZ331" t="str">
        <f t="shared" si="269"/>
        <v>1+27,9700864206407i</v>
      </c>
      <c r="BA331">
        <f t="shared" si="294"/>
        <v>27.98795695255567</v>
      </c>
      <c r="BB331">
        <f t="shared" si="295"/>
        <v>1.5350590669427544</v>
      </c>
      <c r="BC331" s="41" t="str">
        <f t="shared" si="296"/>
        <v>-3,06107722251909+1,36678562862679i</v>
      </c>
      <c r="BD331">
        <f t="shared" si="297"/>
        <v>10.50700494282081</v>
      </c>
      <c r="BE331" s="43">
        <f t="shared" si="298"/>
        <v>155.93900957102193</v>
      </c>
      <c r="BF331" s="41" t="str">
        <f t="shared" si="299"/>
        <v>-0,138007363679463+0,545661772400791i</v>
      </c>
      <c r="BG331" s="20">
        <f t="shared" si="300"/>
        <v>-4.9922469438537957</v>
      </c>
      <c r="BH331" s="43">
        <f t="shared" si="301"/>
        <v>104.1934579148667</v>
      </c>
      <c r="BI331" s="41" t="str">
        <f t="shared" si="306"/>
        <v>-0,833802320772961+1,47944658831439i</v>
      </c>
      <c r="BJ331" s="20">
        <f t="shared" si="302"/>
        <v>4.5999352696785216</v>
      </c>
      <c r="BK331" s="43">
        <f t="shared" si="307"/>
        <v>119.40520295444111</v>
      </c>
      <c r="BL331">
        <f t="shared" si="303"/>
        <v>-4.9922469438537957</v>
      </c>
      <c r="BM331" s="43">
        <f t="shared" si="304"/>
        <v>104.1934579148667</v>
      </c>
    </row>
    <row r="332" spans="14:65" x14ac:dyDescent="0.25">
      <c r="N332" s="9">
        <v>14</v>
      </c>
      <c r="O332" s="34">
        <f t="shared" si="308"/>
        <v>13803.842646028841</v>
      </c>
      <c r="P332" s="33" t="str">
        <f t="shared" si="257"/>
        <v>54,631621870174</v>
      </c>
      <c r="Q332" s="4" t="str">
        <f t="shared" si="258"/>
        <v>1+691,363286912442i</v>
      </c>
      <c r="R332" s="4">
        <f t="shared" si="270"/>
        <v>691.3640101208448</v>
      </c>
      <c r="S332" s="4">
        <f t="shared" si="271"/>
        <v>1.5693499102414632</v>
      </c>
      <c r="T332" s="4" t="str">
        <f t="shared" si="259"/>
        <v>1+1,73464202592295i</v>
      </c>
      <c r="U332" s="4">
        <f t="shared" si="272"/>
        <v>2.0022444801017873</v>
      </c>
      <c r="V332" s="4">
        <f t="shared" si="273"/>
        <v>1.0478446296529633</v>
      </c>
      <c r="W332" t="str">
        <f t="shared" si="260"/>
        <v>1-0,345136419620619i</v>
      </c>
      <c r="X332" s="4">
        <f t="shared" si="274"/>
        <v>1.0578842791858381</v>
      </c>
      <c r="Y332" s="4">
        <f t="shared" si="275"/>
        <v>-0.33233545497800238</v>
      </c>
      <c r="Z332" t="str">
        <f t="shared" si="261"/>
        <v>0,999237815712815+0,0474189525778002i</v>
      </c>
      <c r="AA332" s="4">
        <f t="shared" si="276"/>
        <v>1.0003623190694926</v>
      </c>
      <c r="AB332" s="4">
        <f t="shared" si="277"/>
        <v>4.7419547383956262E-2</v>
      </c>
      <c r="AC332" s="47" t="str">
        <f t="shared" si="278"/>
        <v>0,10383950730396-0,131193431399978i</v>
      </c>
      <c r="AD332" s="20">
        <f t="shared" si="279"/>
        <v>-15.529294611360116</v>
      </c>
      <c r="AE332" s="43">
        <f t="shared" si="280"/>
        <v>-51.638410455827511</v>
      </c>
      <c r="AF332" t="str">
        <f t="shared" si="262"/>
        <v>171,265703090588</v>
      </c>
      <c r="AG332" t="str">
        <f t="shared" si="263"/>
        <v>1+684,746928201788i</v>
      </c>
      <c r="AH332">
        <f t="shared" si="281"/>
        <v>684.74765839817553</v>
      </c>
      <c r="AI332">
        <f t="shared" si="282"/>
        <v>1.5693359342792113</v>
      </c>
      <c r="AJ332" t="str">
        <f t="shared" si="264"/>
        <v>1+1,73464202592295i</v>
      </c>
      <c r="AK332">
        <f t="shared" si="283"/>
        <v>2.0022444801017873</v>
      </c>
      <c r="AL332">
        <f t="shared" si="284"/>
        <v>1.0478446296529633</v>
      </c>
      <c r="AM332" t="str">
        <f t="shared" si="265"/>
        <v>1-0,109040517787399i</v>
      </c>
      <c r="AN332">
        <f t="shared" si="285"/>
        <v>1.0059273505175927</v>
      </c>
      <c r="AO332">
        <f t="shared" si="286"/>
        <v>-0.10861141691177212</v>
      </c>
      <c r="AP332" s="41" t="str">
        <f t="shared" si="287"/>
        <v>0,407021343294667-0,296829297633869i</v>
      </c>
      <c r="AQ332">
        <f t="shared" si="288"/>
        <v>-5.9555286491358181</v>
      </c>
      <c r="AR332" s="43">
        <f t="shared" si="289"/>
        <v>-36.102226603835483</v>
      </c>
      <c r="AS332" t="str">
        <f t="shared" si="266"/>
        <v>-0,0000166666666666667</v>
      </c>
      <c r="AT332" t="str">
        <f t="shared" si="267"/>
        <v>0,000132006258172736i</v>
      </c>
      <c r="AU332">
        <f t="shared" si="290"/>
        <v>1.3200625817273601E-4</v>
      </c>
      <c r="AV332">
        <f t="shared" si="291"/>
        <v>1.5707963267948966</v>
      </c>
      <c r="AW332" t="str">
        <f t="shared" si="268"/>
        <v>1+0,413715542319336i</v>
      </c>
      <c r="AX332">
        <f t="shared" si="292"/>
        <v>1.0822017140794882</v>
      </c>
      <c r="AY332">
        <f t="shared" si="293"/>
        <v>0.39227392015783591</v>
      </c>
      <c r="AZ332" t="str">
        <f t="shared" si="269"/>
        <v>1+28,6215934277286i</v>
      </c>
      <c r="BA332">
        <f t="shared" si="294"/>
        <v>28.639057427614425</v>
      </c>
      <c r="BB332">
        <f t="shared" si="295"/>
        <v>1.5358718772855149</v>
      </c>
      <c r="BC332" s="41" t="str">
        <f t="shared" si="296"/>
        <v>-3,04094250299869+1,38434181717489i</v>
      </c>
      <c r="BD332">
        <f t="shared" si="297"/>
        <v>10.478094633400314</v>
      </c>
      <c r="BE332" s="43">
        <f t="shared" si="298"/>
        <v>155.52333640319881</v>
      </c>
      <c r="BF332" s="41" t="str">
        <f t="shared" si="299"/>
        <v>-0,1341534180254+0,542701053894145i</v>
      </c>
      <c r="BG332" s="20">
        <f t="shared" si="300"/>
        <v>-5.051199977959806</v>
      </c>
      <c r="BH332" s="43">
        <f t="shared" si="301"/>
        <v>103.8849259473713</v>
      </c>
      <c r="BI332" s="41" t="str">
        <f t="shared" si="306"/>
        <v>-0,826815293175157+1,46609749331558i</v>
      </c>
      <c r="BJ332" s="20">
        <f t="shared" si="302"/>
        <v>4.5225659842644719</v>
      </c>
      <c r="BK332" s="43">
        <f t="shared" si="307"/>
        <v>119.42110979936339</v>
      </c>
      <c r="BL332">
        <f t="shared" si="303"/>
        <v>-5.051199977959806</v>
      </c>
      <c r="BM332" s="43">
        <f t="shared" si="304"/>
        <v>103.8849259473713</v>
      </c>
    </row>
    <row r="333" spans="14:65" x14ac:dyDescent="0.25">
      <c r="N333" s="9">
        <v>15</v>
      </c>
      <c r="O333" s="34">
        <f t="shared" si="308"/>
        <v>14125.375446227561</v>
      </c>
      <c r="P333" s="33" t="str">
        <f t="shared" si="257"/>
        <v>54,631621870174</v>
      </c>
      <c r="Q333" s="4" t="str">
        <f t="shared" si="258"/>
        <v>1+707,467206617692i</v>
      </c>
      <c r="R333" s="4">
        <f t="shared" si="270"/>
        <v>707.46791336387844</v>
      </c>
      <c r="S333" s="4">
        <f t="shared" si="271"/>
        <v>1.5693828346575096</v>
      </c>
      <c r="T333" s="4" t="str">
        <f t="shared" si="259"/>
        <v>1+1,77504702924265i</v>
      </c>
      <c r="U333" s="4">
        <f t="shared" si="272"/>
        <v>2.0373492474348027</v>
      </c>
      <c r="V333" s="4">
        <f t="shared" si="273"/>
        <v>1.0577497477991857</v>
      </c>
      <c r="W333" t="str">
        <f t="shared" si="260"/>
        <v>1-0,35317567957865i</v>
      </c>
      <c r="X333" s="4">
        <f t="shared" si="274"/>
        <v>1.0605343278960098</v>
      </c>
      <c r="Y333" s="4">
        <f t="shared" si="275"/>
        <v>-0.33950112648414416</v>
      </c>
      <c r="Z333" t="str">
        <f t="shared" si="261"/>
        <v>0,999201895074012+0,0485234818741564i</v>
      </c>
      <c r="AA333" s="4">
        <f t="shared" si="276"/>
        <v>1.0003794057319895</v>
      </c>
      <c r="AB333" s="4">
        <f t="shared" si="277"/>
        <v>4.8524118929332082E-2</v>
      </c>
      <c r="AC333" s="47" t="str">
        <f t="shared" si="278"/>
        <v>0,103721242330233-0,13061350130448i</v>
      </c>
      <c r="AD333" s="20">
        <f t="shared" si="279"/>
        <v>-15.556743652146841</v>
      </c>
      <c r="AE333" s="43">
        <f t="shared" si="280"/>
        <v>-51.546625442952624</v>
      </c>
      <c r="AF333" t="str">
        <f t="shared" si="262"/>
        <v>171,265703090588</v>
      </c>
      <c r="AG333" t="str">
        <f t="shared" si="263"/>
        <v>1+700,696733114663i</v>
      </c>
      <c r="AH333">
        <f t="shared" si="281"/>
        <v>700.69744668976864</v>
      </c>
      <c r="AI333">
        <f t="shared" si="282"/>
        <v>1.5693691768256999</v>
      </c>
      <c r="AJ333" t="str">
        <f t="shared" si="264"/>
        <v>1+1,77504702924265i</v>
      </c>
      <c r="AK333">
        <f t="shared" si="283"/>
        <v>2.0373492474348027</v>
      </c>
      <c r="AL333">
        <f t="shared" si="284"/>
        <v>1.0577497477991857</v>
      </c>
      <c r="AM333" t="str">
        <f t="shared" si="265"/>
        <v>1-0,111580397726511i</v>
      </c>
      <c r="AN333">
        <f t="shared" si="285"/>
        <v>1.0062058363758413</v>
      </c>
      <c r="AO333">
        <f t="shared" si="286"/>
        <v>-0.11112076087301824</v>
      </c>
      <c r="AP333" s="41" t="str">
        <f t="shared" si="287"/>
        <v>0,407004942683155-0,29225148526355i</v>
      </c>
      <c r="AQ333">
        <f t="shared" si="288"/>
        <v>-6.002156357517161</v>
      </c>
      <c r="AR333" s="43">
        <f t="shared" si="289"/>
        <v>-35.680384614418607</v>
      </c>
      <c r="AS333" t="str">
        <f t="shared" si="266"/>
        <v>-0,0000166666666666667</v>
      </c>
      <c r="AT333" t="str">
        <f t="shared" si="267"/>
        <v>0,000135081078925365i</v>
      </c>
      <c r="AU333">
        <f t="shared" si="290"/>
        <v>1.35081078925365E-4</v>
      </c>
      <c r="AV333">
        <f t="shared" si="291"/>
        <v>1.5707963267948966</v>
      </c>
      <c r="AW333" t="str">
        <f t="shared" si="268"/>
        <v>1+0,423352215253009i</v>
      </c>
      <c r="AX333">
        <f t="shared" si="292"/>
        <v>1.0859222339374168</v>
      </c>
      <c r="AY333">
        <f t="shared" si="293"/>
        <v>0.40047413146983185</v>
      </c>
      <c r="AZ333" t="str">
        <f t="shared" si="269"/>
        <v>1+29,2882759825037i</v>
      </c>
      <c r="BA333">
        <f t="shared" si="294"/>
        <v>29.305342687423106</v>
      </c>
      <c r="BB333">
        <f t="shared" si="295"/>
        <v>1.5366662304172858</v>
      </c>
      <c r="BC333" s="41" t="str">
        <f t="shared" si="296"/>
        <v>-3,02014081914881+1,40196599453961i</v>
      </c>
      <c r="BD333">
        <f t="shared" si="297"/>
        <v>10.448046156066948</v>
      </c>
      <c r="BE333" s="43">
        <f t="shared" si="298"/>
        <v>155.09901198579951</v>
      </c>
      <c r="BF333" s="41" t="str">
        <f t="shared" si="299"/>
        <v>-0,130137070517726+0,539884821479995i</v>
      </c>
      <c r="BG333" s="20">
        <f t="shared" si="300"/>
        <v>-5.1086974960798992</v>
      </c>
      <c r="BH333" s="43">
        <f t="shared" si="301"/>
        <v>103.55238654284686</v>
      </c>
      <c r="BI333" s="41" t="str">
        <f t="shared" si="306"/>
        <v>-0,819485596799527+1,45324772935264i</v>
      </c>
      <c r="BJ333" s="20">
        <f t="shared" si="302"/>
        <v>4.4458897985497847</v>
      </c>
      <c r="BK333" s="43">
        <f t="shared" si="307"/>
        <v>119.41862737138089</v>
      </c>
      <c r="BL333">
        <f t="shared" si="303"/>
        <v>-5.1086974960798992</v>
      </c>
      <c r="BM333" s="43">
        <f t="shared" si="304"/>
        <v>103.55238654284686</v>
      </c>
    </row>
    <row r="334" spans="14:65" x14ac:dyDescent="0.25">
      <c r="N334" s="9">
        <v>16</v>
      </c>
      <c r="O334" s="34">
        <f t="shared" si="308"/>
        <v>14454.397707459291</v>
      </c>
      <c r="P334" s="33" t="str">
        <f t="shared" si="257"/>
        <v>54,631621870174</v>
      </c>
      <c r="Q334" s="4" t="str">
        <f t="shared" si="258"/>
        <v>1+723,946234800324i</v>
      </c>
      <c r="R334" s="4">
        <f t="shared" si="270"/>
        <v>723.94692545901864</v>
      </c>
      <c r="S334" s="4">
        <f t="shared" si="271"/>
        <v>1.5694150096253097</v>
      </c>
      <c r="T334" s="4" t="str">
        <f t="shared" si="259"/>
        <v>1+1,81639318599277i</v>
      </c>
      <c r="U334" s="4">
        <f t="shared" si="272"/>
        <v>2.0734715349193884</v>
      </c>
      <c r="V334" s="4">
        <f t="shared" si="273"/>
        <v>1.0675373998088891</v>
      </c>
      <c r="W334" t="str">
        <f t="shared" si="260"/>
        <v>1-0,361402197956825i</v>
      </c>
      <c r="X334" s="4">
        <f t="shared" si="274"/>
        <v>1.0633021906720705</v>
      </c>
      <c r="Y334" s="4">
        <f t="shared" si="275"/>
        <v>-0.34679634802920961</v>
      </c>
      <c r="Z334" t="str">
        <f t="shared" si="261"/>
        <v>0,999164281547658+0,0496537389628864i</v>
      </c>
      <c r="AA334" s="4">
        <f t="shared" si="276"/>
        <v>1.0003972987336793</v>
      </c>
      <c r="AB334" s="4">
        <f t="shared" si="277"/>
        <v>4.9654421253197696E-2</v>
      </c>
      <c r="AC334" s="47" t="str">
        <f t="shared" si="278"/>
        <v>0,103597884737504-0,130102487190832i</v>
      </c>
      <c r="AD334" s="20">
        <f t="shared" si="279"/>
        <v>-15.581607167257015</v>
      </c>
      <c r="AE334" s="43">
        <f t="shared" si="280"/>
        <v>-51.470424739191216</v>
      </c>
      <c r="AF334" t="str">
        <f t="shared" si="262"/>
        <v>171,265703090588</v>
      </c>
      <c r="AG334" t="str">
        <f t="shared" si="263"/>
        <v>1+717,018056710253i</v>
      </c>
      <c r="AH334">
        <f t="shared" si="281"/>
        <v>717.01875404242219</v>
      </c>
      <c r="AI334">
        <f t="shared" si="282"/>
        <v>1.5694016626824956</v>
      </c>
      <c r="AJ334" t="str">
        <f t="shared" si="264"/>
        <v>1+1,81639318599277i</v>
      </c>
      <c r="AK334">
        <f t="shared" si="283"/>
        <v>2.0734715349193884</v>
      </c>
      <c r="AL334">
        <f t="shared" si="284"/>
        <v>1.0675373998088891</v>
      </c>
      <c r="AM334" t="str">
        <f t="shared" si="265"/>
        <v>1-0,114179439069438i</v>
      </c>
      <c r="AN334">
        <f t="shared" si="285"/>
        <v>1.0064973642818005</v>
      </c>
      <c r="AO334">
        <f t="shared" si="286"/>
        <v>-0.11368710085820266</v>
      </c>
      <c r="AP334" s="41" t="str">
        <f t="shared" si="287"/>
        <v>0,406989280217813-0,287828626391667i</v>
      </c>
      <c r="AQ334">
        <f t="shared" si="288"/>
        <v>-6.0469878733336726</v>
      </c>
      <c r="AR334" s="43">
        <f t="shared" si="289"/>
        <v>-35.268495215354832</v>
      </c>
      <c r="AS334" t="str">
        <f t="shared" si="266"/>
        <v>-0,0000166666666666667</v>
      </c>
      <c r="AT334" t="str">
        <f t="shared" si="267"/>
        <v>0,00013822752145405i</v>
      </c>
      <c r="AU334">
        <f t="shared" si="290"/>
        <v>1.3822752145404999E-4</v>
      </c>
      <c r="AV334">
        <f t="shared" si="291"/>
        <v>1.5707963267948966</v>
      </c>
      <c r="AW334" t="str">
        <f t="shared" si="268"/>
        <v>1+0,433213355134938i</v>
      </c>
      <c r="AX334">
        <f t="shared" si="292"/>
        <v>1.0898044829542912</v>
      </c>
      <c r="AY334">
        <f t="shared" si="293"/>
        <v>0.40880681388559831</v>
      </c>
      <c r="AZ334" t="str">
        <f t="shared" si="269"/>
        <v>1+29,9704875688807i</v>
      </c>
      <c r="BA334">
        <f t="shared" si="294"/>
        <v>29.987166006750829</v>
      </c>
      <c r="BB334">
        <f t="shared" si="295"/>
        <v>1.5374425435024455</v>
      </c>
      <c r="BC334" s="41" t="str">
        <f t="shared" si="296"/>
        <v>-2,99866163673164+1,41963442406645i</v>
      </c>
      <c r="BD334">
        <f t="shared" si="297"/>
        <v>10.416821253004398</v>
      </c>
      <c r="BE334" s="43">
        <f t="shared" si="298"/>
        <v>154.66606391471379</v>
      </c>
      <c r="BF334" s="41" t="str">
        <f t="shared" si="299"/>
        <v>-0,12595703313613+0,537204460616347i</v>
      </c>
      <c r="BG334" s="20">
        <f t="shared" si="300"/>
        <v>-5.1647859142526107</v>
      </c>
      <c r="BH334" s="43">
        <f t="shared" si="301"/>
        <v>103.19563917552256</v>
      </c>
      <c r="BI334" s="41" t="str">
        <f t="shared" si="306"/>
        <v>-0,811811714892807+1,44087665233709i</v>
      </c>
      <c r="BJ334" s="20">
        <f t="shared" si="302"/>
        <v>4.3698333796707258</v>
      </c>
      <c r="BK334" s="43">
        <f t="shared" si="307"/>
        <v>119.39756869935894</v>
      </c>
      <c r="BL334">
        <f t="shared" si="303"/>
        <v>-5.1647859142526107</v>
      </c>
      <c r="BM334" s="43">
        <f t="shared" si="304"/>
        <v>103.19563917552256</v>
      </c>
    </row>
    <row r="335" spans="14:65" x14ac:dyDescent="0.25">
      <c r="N335" s="9">
        <v>17</v>
      </c>
      <c r="O335" s="34">
        <f t="shared" si="308"/>
        <v>14791.083881682089</v>
      </c>
      <c r="P335" s="33" t="str">
        <f t="shared" si="257"/>
        <v>54,631621870174</v>
      </c>
      <c r="Q335" s="4" t="str">
        <f t="shared" si="258"/>
        <v>1+740,809108859209i</v>
      </c>
      <c r="R335" s="4">
        <f t="shared" si="270"/>
        <v>740.80978379660678</v>
      </c>
      <c r="S335" s="4">
        <f t="shared" si="271"/>
        <v>1.5694464522041904</v>
      </c>
      <c r="T335" s="4" t="str">
        <f t="shared" si="259"/>
        <v>1+1,85870241845291i</v>
      </c>
      <c r="U335" s="4">
        <f t="shared" si="272"/>
        <v>2.1106337153477615</v>
      </c>
      <c r="V335" s="4">
        <f t="shared" si="273"/>
        <v>1.0772052733994419</v>
      </c>
      <c r="W335" t="str">
        <f t="shared" si="260"/>
        <v>1-0,369820336564081i</v>
      </c>
      <c r="X335" s="4">
        <f t="shared" si="274"/>
        <v>1.066192797450991</v>
      </c>
      <c r="Y335" s="4">
        <f t="shared" si="275"/>
        <v>-0.35422188065030452</v>
      </c>
      <c r="Z335" t="str">
        <f t="shared" si="261"/>
        <v>0,99912489535042+0,0508103231212595i</v>
      </c>
      <c r="AA335" s="4">
        <f t="shared" si="276"/>
        <v>1.0004160361792862</v>
      </c>
      <c r="AB335" s="4">
        <f t="shared" si="277"/>
        <v>5.0811053842057891E-2</v>
      </c>
      <c r="AC335" s="47" t="str">
        <f t="shared" si="278"/>
        <v>0,103469173999607-0,129660094115926i</v>
      </c>
      <c r="AD335" s="20">
        <f t="shared" si="279"/>
        <v>-15.603892891880911</v>
      </c>
      <c r="AE335" s="43">
        <f t="shared" si="280"/>
        <v>-51.410019758267516</v>
      </c>
      <c r="AF335" t="str">
        <f t="shared" si="262"/>
        <v>171,265703090588</v>
      </c>
      <c r="AG335" t="str">
        <f t="shared" si="263"/>
        <v>1+733,719552770366i</v>
      </c>
      <c r="AH335">
        <f t="shared" si="281"/>
        <v>733.72023422933216</v>
      </c>
      <c r="AI335">
        <f t="shared" si="282"/>
        <v>1.5694334090737556</v>
      </c>
      <c r="AJ335" t="str">
        <f t="shared" si="264"/>
        <v>1+1,85870241845291i</v>
      </c>
      <c r="AK335">
        <f t="shared" si="283"/>
        <v>2.1106337153477615</v>
      </c>
      <c r="AL335">
        <f t="shared" si="284"/>
        <v>1.0772052733994419</v>
      </c>
      <c r="AM335" t="str">
        <f t="shared" si="265"/>
        <v>1-0,116839019862303i</v>
      </c>
      <c r="AN335">
        <f t="shared" si="285"/>
        <v>1.0068025409991692</v>
      </c>
      <c r="AO335">
        <f t="shared" si="286"/>
        <v>-0.11631166228413659</v>
      </c>
      <c r="AP335" s="41" t="str">
        <f t="shared" si="287"/>
        <v>0,406974322676851-0,283558376100568i</v>
      </c>
      <c r="AQ335">
        <f t="shared" si="288"/>
        <v>-6.0900583996781297</v>
      </c>
      <c r="AR335" s="43">
        <f t="shared" si="289"/>
        <v>-34.866762088763089</v>
      </c>
      <c r="AS335" t="str">
        <f t="shared" si="266"/>
        <v>-0,0000166666666666667</v>
      </c>
      <c r="AT335" t="str">
        <f t="shared" si="267"/>
        <v>0,000141447254044267i</v>
      </c>
      <c r="AU335">
        <f t="shared" si="290"/>
        <v>1.4144725404426699E-4</v>
      </c>
      <c r="AV335">
        <f t="shared" si="291"/>
        <v>1.5707963267948966</v>
      </c>
      <c r="AW335" t="str">
        <f t="shared" si="268"/>
        <v>1+0,443304190472015i</v>
      </c>
      <c r="AX335">
        <f t="shared" si="292"/>
        <v>1.0938549288137109</v>
      </c>
      <c r="AY335">
        <f t="shared" si="293"/>
        <v>0.41727175590743765</v>
      </c>
      <c r="AZ335" t="str">
        <f t="shared" si="269"/>
        <v>1+30,6685899044731i</v>
      </c>
      <c r="BA335">
        <f t="shared" si="294"/>
        <v>30.684888898751929</v>
      </c>
      <c r="BB335">
        <f t="shared" si="295"/>
        <v>1.5382012244074936</v>
      </c>
      <c r="BC335" s="41" t="str">
        <f t="shared" si="296"/>
        <v>-2,97649520738957+1,43732235099902i</v>
      </c>
      <c r="BD335">
        <f t="shared" si="297"/>
        <v>10.384381119068642</v>
      </c>
      <c r="BE335" s="43">
        <f t="shared" si="298"/>
        <v>154.22452767689575</v>
      </c>
      <c r="BF335" s="41" t="str">
        <f t="shared" si="299"/>
        <v>-0,121612149216931+0,534651205154776i</v>
      </c>
      <c r="BG335" s="20">
        <f t="shared" si="300"/>
        <v>-5.2195117728122709</v>
      </c>
      <c r="BH335" s="43">
        <f t="shared" si="301"/>
        <v>102.81450791862825</v>
      </c>
      <c r="BI335" s="41" t="str">
        <f t="shared" si="306"/>
        <v>-0,803792329195931+1,42896343774464i</v>
      </c>
      <c r="BJ335" s="20">
        <f t="shared" si="302"/>
        <v>4.2943227193905367</v>
      </c>
      <c r="BK335" s="43">
        <f t="shared" si="307"/>
        <v>119.35776558813259</v>
      </c>
      <c r="BL335">
        <f t="shared" si="303"/>
        <v>-5.2195117728122709</v>
      </c>
      <c r="BM335" s="43">
        <f t="shared" si="304"/>
        <v>102.81450791862825</v>
      </c>
    </row>
    <row r="336" spans="14:65" x14ac:dyDescent="0.25">
      <c r="N336" s="9">
        <v>18</v>
      </c>
      <c r="O336" s="34">
        <f t="shared" si="308"/>
        <v>15135.612484362096</v>
      </c>
      <c r="P336" s="33" t="str">
        <f t="shared" si="257"/>
        <v>54,631621870174</v>
      </c>
      <c r="Q336" s="4" t="str">
        <f t="shared" si="258"/>
        <v>1+758,064769713379i</v>
      </c>
      <c r="R336" s="4">
        <f t="shared" si="270"/>
        <v>758.06542928733938</v>
      </c>
      <c r="S336" s="4">
        <f t="shared" si="271"/>
        <v>1.5694771790651745</v>
      </c>
      <c r="T336" s="4" t="str">
        <f t="shared" si="259"/>
        <v>1+1,90199715953816i</v>
      </c>
      <c r="U336" s="4">
        <f t="shared" si="272"/>
        <v>2.1488585795466459</v>
      </c>
      <c r="V336" s="4">
        <f t="shared" si="273"/>
        <v>1.0867512647546118</v>
      </c>
      <c r="W336" t="str">
        <f t="shared" si="260"/>
        <v>1-0,378434558808934i</v>
      </c>
      <c r="X336" s="4">
        <f t="shared" si="274"/>
        <v>1.0692112584989519</v>
      </c>
      <c r="Y336" s="4">
        <f t="shared" si="275"/>
        <v>-0.36177838502103188</v>
      </c>
      <c r="Z336" t="str">
        <f t="shared" si="261"/>
        <v>0,999083652938893+0,0519938475855056i</v>
      </c>
      <c r="AA336" s="4">
        <f t="shared" si="276"/>
        <v>1.0004356579792961</v>
      </c>
      <c r="AB336" s="4">
        <f t="shared" si="277"/>
        <v>5.1994630155814604E-2</v>
      </c>
      <c r="AC336" s="47" t="str">
        <f t="shared" si="278"/>
        <v>0,103334838344837-0,129286061800239i</v>
      </c>
      <c r="AD336" s="20">
        <f t="shared" si="279"/>
        <v>-15.623608053305198</v>
      </c>
      <c r="AE336" s="43">
        <f t="shared" si="280"/>
        <v>-51.365604997624764</v>
      </c>
      <c r="AF336" t="str">
        <f t="shared" si="262"/>
        <v>171,265703090588</v>
      </c>
      <c r="AG336" t="str">
        <f t="shared" si="263"/>
        <v>1+750,810076649284i</v>
      </c>
      <c r="AH336">
        <f t="shared" si="281"/>
        <v>750.81074259636409</v>
      </c>
      <c r="AI336">
        <f t="shared" si="282"/>
        <v>1.5694644328315805</v>
      </c>
      <c r="AJ336" t="str">
        <f t="shared" si="264"/>
        <v>1+1,90199715953816i</v>
      </c>
      <c r="AK336">
        <f t="shared" si="283"/>
        <v>2.1488585795466459</v>
      </c>
      <c r="AL336">
        <f t="shared" si="284"/>
        <v>1.0867512647546118</v>
      </c>
      <c r="AM336" t="str">
        <f t="shared" si="265"/>
        <v>1-0,119560550250047i</v>
      </c>
      <c r="AN336">
        <f t="shared" si="285"/>
        <v>1.0071220011379427</v>
      </c>
      <c r="AO336">
        <f t="shared" si="286"/>
        <v>-0.11899569201931635</v>
      </c>
      <c r="AP336" s="41" t="str">
        <f t="shared" si="287"/>
        <v>0,406960038333686-0,279438470378299i</v>
      </c>
      <c r="AQ336">
        <f t="shared" si="288"/>
        <v>-6.1314031585070552</v>
      </c>
      <c r="AR336" s="43">
        <f t="shared" si="289"/>
        <v>-34.475378179144883</v>
      </c>
      <c r="AS336" t="str">
        <f t="shared" si="266"/>
        <v>-0,0000166666666666667</v>
      </c>
      <c r="AT336" t="str">
        <f t="shared" si="267"/>
        <v>0,000144741983840854i</v>
      </c>
      <c r="AU336">
        <f t="shared" si="290"/>
        <v>1.4474198384085399E-4</v>
      </c>
      <c r="AV336">
        <f t="shared" si="291"/>
        <v>1.5707963267948966</v>
      </c>
      <c r="AW336" t="str">
        <f t="shared" si="268"/>
        <v>1+0,453630071558706i</v>
      </c>
      <c r="AX336">
        <f t="shared" si="292"/>
        <v>1.0980802529061147</v>
      </c>
      <c r="AY336">
        <f t="shared" si="293"/>
        <v>0.42586859225149792</v>
      </c>
      <c r="AZ336" t="str">
        <f t="shared" si="269"/>
        <v>1+31,3829531323796i</v>
      </c>
      <c r="BA336">
        <f t="shared" si="294"/>
        <v>31.398881306650633</v>
      </c>
      <c r="BB336">
        <f t="shared" si="295"/>
        <v>1.5389426718995376</v>
      </c>
      <c r="BC336" s="41" t="str">
        <f t="shared" si="296"/>
        <v>-2,95363265267617+1,45500401616328i</v>
      </c>
      <c r="BD336">
        <f t="shared" si="297"/>
        <v>10.350686447263474</v>
      </c>
      <c r="BE336" s="43">
        <f t="shared" si="298"/>
        <v>153.77444704924108</v>
      </c>
      <c r="BF336" s="41" t="str">
        <f t="shared" si="299"/>
        <v>-0,117101413541042+0,532216138470416i</v>
      </c>
      <c r="BG336" s="20">
        <f t="shared" si="300"/>
        <v>-5.2729216060417317</v>
      </c>
      <c r="BH336" s="43">
        <f t="shared" si="301"/>
        <v>102.40884205161629</v>
      </c>
      <c r="BI336" s="41" t="str">
        <f t="shared" si="306"/>
        <v>-0,795426360885772+1,4174870807167i</v>
      </c>
      <c r="BJ336" s="20">
        <f t="shared" si="302"/>
        <v>4.219283288756408</v>
      </c>
      <c r="BK336" s="43">
        <f t="shared" si="307"/>
        <v>119.29906887009624</v>
      </c>
      <c r="BL336">
        <f t="shared" si="303"/>
        <v>-5.2729216060417317</v>
      </c>
      <c r="BM336" s="43">
        <f t="shared" si="304"/>
        <v>102.40884205161629</v>
      </c>
    </row>
    <row r="337" spans="14:65" x14ac:dyDescent="0.25">
      <c r="N337" s="9">
        <v>19</v>
      </c>
      <c r="O337" s="34">
        <f t="shared" si="308"/>
        <v>15488.166189124853</v>
      </c>
      <c r="P337" s="33" t="str">
        <f t="shared" si="257"/>
        <v>54,631621870174</v>
      </c>
      <c r="Q337" s="4" t="str">
        <f t="shared" si="258"/>
        <v>1+775,722366542625i</v>
      </c>
      <c r="R337" s="4">
        <f t="shared" si="270"/>
        <v>775.72301110286185</v>
      </c>
      <c r="S337" s="4">
        <f t="shared" si="271"/>
        <v>1.5695072064998183</v>
      </c>
      <c r="T337" s="4" t="str">
        <f t="shared" si="259"/>
        <v>1+1,9463003646933i</v>
      </c>
      <c r="U337" s="4">
        <f t="shared" si="272"/>
        <v>2.1881693512169647</v>
      </c>
      <c r="V337" s="4">
        <f t="shared" si="273"/>
        <v>1.0961734753591088</v>
      </c>
      <c r="W337" t="str">
        <f t="shared" si="260"/>
        <v>1-0,387249432066042i</v>
      </c>
      <c r="X337" s="4">
        <f t="shared" si="274"/>
        <v>1.0723628689186659</v>
      </c>
      <c r="Y337" s="4">
        <f t="shared" si="275"/>
        <v>-0.36946641484601789</v>
      </c>
      <c r="Z337" t="str">
        <f t="shared" si="261"/>
        <v>0,999040466832392+0,0532049398759616i</v>
      </c>
      <c r="AA337" s="4">
        <f t="shared" si="276"/>
        <v>1.0004562059360163</v>
      </c>
      <c r="AB337" s="4">
        <f t="shared" si="277"/>
        <v>5.3205777953881539E-2</v>
      </c>
      <c r="AC337" s="47" t="str">
        <f t="shared" si="278"/>
        <v>0,103194594190028-0,128980164367454i</v>
      </c>
      <c r="AD337" s="20">
        <f t="shared" si="279"/>
        <v>-15.640759293431081</v>
      </c>
      <c r="AE337" s="43">
        <f t="shared" si="280"/>
        <v>-51.337357860516555</v>
      </c>
      <c r="AF337" t="str">
        <f t="shared" si="262"/>
        <v>171,265703090588</v>
      </c>
      <c r="AG337" t="str">
        <f t="shared" si="263"/>
        <v>1+768,29868996899i</v>
      </c>
      <c r="AH337">
        <f t="shared" si="281"/>
        <v>768.29934075727692</v>
      </c>
      <c r="AI337">
        <f t="shared" si="282"/>
        <v>1.5694947504049384</v>
      </c>
      <c r="AJ337" t="str">
        <f t="shared" si="264"/>
        <v>1+1,9463003646933i</v>
      </c>
      <c r="AK337">
        <f t="shared" si="283"/>
        <v>2.1881693512169647</v>
      </c>
      <c r="AL337">
        <f t="shared" si="284"/>
        <v>1.0961734753591088</v>
      </c>
      <c r="AM337" t="str">
        <f t="shared" si="265"/>
        <v>1-0,122345473224104i</v>
      </c>
      <c r="AN337">
        <f t="shared" si="285"/>
        <v>1.0074564083961299</v>
      </c>
      <c r="AO337">
        <f t="shared" si="286"/>
        <v>-0.12174045840220564</v>
      </c>
      <c r="AP337" s="41" t="str">
        <f t="shared" si="287"/>
        <v>0,406946396889636-0,275466724918824i</v>
      </c>
      <c r="AQ337">
        <f t="shared" si="288"/>
        <v>-6.1710572850407486</v>
      </c>
      <c r="AR337" s="43">
        <f t="shared" si="289"/>
        <v>-34.094525876311167</v>
      </c>
      <c r="AS337" t="str">
        <f t="shared" si="266"/>
        <v>-0,0000166666666666667</v>
      </c>
      <c r="AT337" t="str">
        <f t="shared" si="267"/>
        <v>0,00014811345775316i</v>
      </c>
      <c r="AU337">
        <f t="shared" si="290"/>
        <v>1.4811345775316001E-4</v>
      </c>
      <c r="AV337">
        <f t="shared" si="291"/>
        <v>1.5707963267948966</v>
      </c>
      <c r="AW337" t="str">
        <f t="shared" si="268"/>
        <v>1+0,464196473313842i</v>
      </c>
      <c r="AX337">
        <f t="shared" si="292"/>
        <v>1.1024873540485662</v>
      </c>
      <c r="AY337">
        <f t="shared" si="293"/>
        <v>0.43459679719886718</v>
      </c>
      <c r="AZ337" t="str">
        <f t="shared" si="269"/>
        <v>1+32,1139560174394i</v>
      </c>
      <c r="BA337">
        <f t="shared" si="294"/>
        <v>32.129521799896615</v>
      </c>
      <c r="BB337">
        <f t="shared" si="295"/>
        <v>1.5396672758411345</v>
      </c>
      <c r="BC337" s="41" t="str">
        <f t="shared" si="296"/>
        <v>-2,93006604995869+1,47265267615607i</v>
      </c>
      <c r="BD337">
        <f t="shared" si="297"/>
        <v>10.315697479034734</v>
      </c>
      <c r="BE337" s="43">
        <f t="shared" si="298"/>
        <v>153.31587449070366</v>
      </c>
      <c r="BF337" s="41" t="str">
        <f t="shared" si="299"/>
        <v>-0,112423992748684+0,529890196029953i</v>
      </c>
      <c r="BG337" s="20">
        <f t="shared" si="300"/>
        <v>-5.3250618143963475</v>
      </c>
      <c r="BH337" s="43">
        <f t="shared" si="301"/>
        <v>101.97851663018707</v>
      </c>
      <c r="BI337" s="41" t="str">
        <f t="shared" si="306"/>
        <v>-0,786713012035683+1,40642639900955i</v>
      </c>
      <c r="BJ337" s="20">
        <f t="shared" si="302"/>
        <v>4.1446401939939923</v>
      </c>
      <c r="BK337" s="43">
        <f t="shared" si="307"/>
        <v>119.22134861439248</v>
      </c>
      <c r="BL337">
        <f t="shared" si="303"/>
        <v>-5.3250618143963475</v>
      </c>
      <c r="BM337" s="43">
        <f t="shared" si="304"/>
        <v>101.97851663018707</v>
      </c>
    </row>
    <row r="338" spans="14:65" x14ac:dyDescent="0.25">
      <c r="N338" s="9">
        <v>20</v>
      </c>
      <c r="O338" s="34">
        <f t="shared" si="308"/>
        <v>15848.931924611146</v>
      </c>
      <c r="P338" s="33" t="str">
        <f t="shared" si="257"/>
        <v>54,631621870174</v>
      </c>
      <c r="Q338" s="4" t="str">
        <f t="shared" si="258"/>
        <v>1+793,79126163851i</v>
      </c>
      <c r="R338" s="4">
        <f t="shared" si="270"/>
        <v>793.79189152677634</v>
      </c>
      <c r="S338" s="4">
        <f t="shared" si="271"/>
        <v>1.5695365504288483</v>
      </c>
      <c r="T338" s="4" t="str">
        <f t="shared" si="259"/>
        <v>1+1,99163552406412i</v>
      </c>
      <c r="U338" s="4">
        <f t="shared" si="272"/>
        <v>2.2285897021915364</v>
      </c>
      <c r="V338" s="4">
        <f t="shared" si="273"/>
        <v>1.1054702082368635</v>
      </c>
      <c r="W338" t="str">
        <f t="shared" si="260"/>
        <v>1-0,396269630097882i</v>
      </c>
      <c r="X338" s="4">
        <f t="shared" si="274"/>
        <v>1.075653113107526</v>
      </c>
      <c r="Y338" s="4">
        <f t="shared" si="275"/>
        <v>-0.37728641014955849</v>
      </c>
      <c r="Z338" t="str">
        <f t="shared" si="261"/>
        <v>0,998995245427396+0,0544442421297903i</v>
      </c>
      <c r="AA338" s="4">
        <f t="shared" si="276"/>
        <v>1.0004777238337845</v>
      </c>
      <c r="AB338" s="4">
        <f t="shared" si="277"/>
        <v>5.4445139628932528E-2</v>
      </c>
      <c r="AC338" s="47" t="str">
        <f t="shared" si="278"/>
        <v>0,103048145550593-0,128742210093579i</v>
      </c>
      <c r="AD338" s="20">
        <f t="shared" si="279"/>
        <v>-15.65535259918169</v>
      </c>
      <c r="AE338" s="43">
        <f t="shared" si="280"/>
        <v>-51.325438506624444</v>
      </c>
      <c r="AF338" t="str">
        <f t="shared" si="262"/>
        <v>171,265703090588</v>
      </c>
      <c r="AG338" t="str">
        <f t="shared" si="263"/>
        <v>1+786,194665423749i</v>
      </c>
      <c r="AH338">
        <f t="shared" si="281"/>
        <v>786.19530139829806</v>
      </c>
      <c r="AI338">
        <f t="shared" si="282"/>
        <v>1.5695243778683845</v>
      </c>
      <c r="AJ338" t="str">
        <f t="shared" si="264"/>
        <v>1+1,99163552406412i</v>
      </c>
      <c r="AK338">
        <f t="shared" si="283"/>
        <v>2.2285897021915364</v>
      </c>
      <c r="AL338">
        <f t="shared" si="284"/>
        <v>1.1054702082368635</v>
      </c>
      <c r="AM338" t="str">
        <f t="shared" si="265"/>
        <v>1-0,125195265387498i</v>
      </c>
      <c r="AN338">
        <f t="shared" si="285"/>
        <v>1.0078064568534209</v>
      </c>
      <c r="AO338">
        <f t="shared" si="286"/>
        <v>-0.12454725122856597</v>
      </c>
      <c r="AP338" s="41" t="str">
        <f t="shared" si="287"/>
        <v>0,406933369409671-0,271641033964466i</v>
      </c>
      <c r="AQ338">
        <f t="shared" si="288"/>
        <v>-6.2090557260323713</v>
      </c>
      <c r="AR338" s="43">
        <f t="shared" si="289"/>
        <v>-33.724377230686557</v>
      </c>
      <c r="AS338" t="str">
        <f t="shared" si="266"/>
        <v>-0,0000166666666666667</v>
      </c>
      <c r="AT338" t="str">
        <f t="shared" si="267"/>
        <v>0,00015156346338128i</v>
      </c>
      <c r="AU338">
        <f t="shared" si="290"/>
        <v>1.5156346338128E-4</v>
      </c>
      <c r="AV338">
        <f t="shared" si="291"/>
        <v>1.5707963267948966</v>
      </c>
      <c r="AW338" t="str">
        <f t="shared" si="268"/>
        <v>1+0,475008998183493i</v>
      </c>
      <c r="AX338">
        <f t="shared" si="292"/>
        <v>1.1070833520360088</v>
      </c>
      <c r="AY338">
        <f t="shared" si="293"/>
        <v>0.4434556781042775</v>
      </c>
      <c r="AZ338" t="str">
        <f t="shared" si="269"/>
        <v>1+32,861986147058i</v>
      </c>
      <c r="BA338">
        <f t="shared" si="294"/>
        <v>32.877197774893034</v>
      </c>
      <c r="BB338">
        <f t="shared" si="295"/>
        <v>1.5403754173815136</v>
      </c>
      <c r="BC338" s="41" t="str">
        <f t="shared" si="296"/>
        <v>-2,90578851972311+1,49024063045216i</v>
      </c>
      <c r="BD338">
        <f t="shared" si="297"/>
        <v>10.279374059472499</v>
      </c>
      <c r="BE338" s="43">
        <f t="shared" si="298"/>
        <v>152.84887152517635</v>
      </c>
      <c r="BF338" s="41" t="str">
        <f t="shared" si="299"/>
        <v>-0,10757924598401+0,527664169485944i</v>
      </c>
      <c r="BG338" s="20">
        <f t="shared" si="300"/>
        <v>-5.3759785397091919</v>
      </c>
      <c r="BH338" s="43">
        <f t="shared" si="301"/>
        <v>101.52343301855194</v>
      </c>
      <c r="BI338" s="41" t="str">
        <f t="shared" si="306"/>
        <v>-0,777651807410983+1,39576003896075i</v>
      </c>
      <c r="BJ338" s="20">
        <f t="shared" si="302"/>
        <v>4.0703183334401274</v>
      </c>
      <c r="BK338" s="43">
        <f t="shared" si="307"/>
        <v>119.12449429448978</v>
      </c>
      <c r="BL338">
        <f t="shared" si="303"/>
        <v>-5.3759785397091919</v>
      </c>
      <c r="BM338" s="43">
        <f t="shared" si="304"/>
        <v>101.52343301855194</v>
      </c>
    </row>
    <row r="339" spans="14:65" x14ac:dyDescent="0.25">
      <c r="N339" s="9">
        <v>21</v>
      </c>
      <c r="O339" s="34">
        <f t="shared" si="308"/>
        <v>16218.100973589309</v>
      </c>
      <c r="P339" s="33" t="str">
        <f t="shared" ref="P339:P402" si="309">COMPLEX(Adc,0)</f>
        <v>54,631621870174</v>
      </c>
      <c r="Q339" s="4" t="str">
        <f t="shared" ref="Q339:Q402" si="310">IMSUM(COMPLEX(1,0),IMDIV(COMPLEX(0,2*PI()*O339),COMPLEX(wp_lf,0)))</f>
        <v>1+812,281035368383i</v>
      </c>
      <c r="R339" s="4">
        <f t="shared" si="270"/>
        <v>812.28165091865287</v>
      </c>
      <c r="S339" s="4">
        <f t="shared" si="271"/>
        <v>1.5695652264106019</v>
      </c>
      <c r="T339" s="4" t="str">
        <f t="shared" ref="T339:T402" si="311">IMSUM(COMPLEX(1,0),IMDIV(COMPLEX(0,2*PI()*O339),COMPLEX(wz_esr,0)))</f>
        <v>1+2,03802667495222i</v>
      </c>
      <c r="U339" s="4">
        <f t="shared" si="272"/>
        <v>2.2701437680941714</v>
      </c>
      <c r="V339" s="4">
        <f t="shared" si="273"/>
        <v>1.1146399636482349</v>
      </c>
      <c r="W339" t="str">
        <f t="shared" ref="W339:W402" si="312">IMSUB(COMPLEX(1,0),IMDIV(COMPLEX(0,2*PI()*O339),COMPLEX(wz_rhp,0)))</f>
        <v>1-0,405499935532848i</v>
      </c>
      <c r="X339" s="4">
        <f t="shared" si="274"/>
        <v>1.0790876691525781</v>
      </c>
      <c r="Y339" s="4">
        <f t="shared" si="275"/>
        <v>-0.38523869048199555</v>
      </c>
      <c r="Z339" t="str">
        <f t="shared" ref="Z339:Z402" si="313">IMSUM(COMPLEX(1,0),IMDIV(COMPLEX(0,2*PI()*O339),COMPLEX(Q*(wsl/2),0)),IMDIV(IMPOWER(COMPLEX(0,2*PI()*O339),2),IMPOWER(COMPLEX(wsl/2,0),2)))</f>
        <v>0,998947892803242+0,0557124114414509i</v>
      </c>
      <c r="AA339" s="4">
        <f t="shared" si="276"/>
        <v>1.0005002575335296</v>
      </c>
      <c r="AB339" s="4">
        <f t="shared" si="277"/>
        <v>5.5713372548466658E-2</v>
      </c>
      <c r="AC339" s="47" t="str">
        <f t="shared" si="278"/>
        <v>0,102895183425379-0,1285720411648i</v>
      </c>
      <c r="AD339" s="20">
        <f t="shared" si="279"/>
        <v>-15.667393241242227</v>
      </c>
      <c r="AE339" s="43">
        <f t="shared" si="280"/>
        <v>-51.329989729395599</v>
      </c>
      <c r="AF339" t="str">
        <f t="shared" ref="AF339:AF402" si="314">COMPLEX($B$72,0)</f>
        <v>171,265703090588</v>
      </c>
      <c r="AG339" t="str">
        <f t="shared" ref="AG339:AG402" si="315">IMSUM(COMPLEX(1,0),IMDIV(COMPLEX(0,2*PI()*O339),COMPLEX(wp_lf_DCM,0)))</f>
        <v>1+804,507491696633i</v>
      </c>
      <c r="AH339">
        <f t="shared" si="281"/>
        <v>804.50811319464526</v>
      </c>
      <c r="AI339">
        <f t="shared" si="282"/>
        <v>1.5695533309305845</v>
      </c>
      <c r="AJ339" t="str">
        <f t="shared" ref="AJ339:AJ402" si="316">IMSUM(COMPLEX(1,0),IMDIV(COMPLEX(0,2*PI()*O339),COMPLEX(wz1_dcm,0)))</f>
        <v>1+2,03802667495222i</v>
      </c>
      <c r="AK339">
        <f t="shared" si="283"/>
        <v>2.2701437680941714</v>
      </c>
      <c r="AL339">
        <f t="shared" si="284"/>
        <v>1.1146399636482349</v>
      </c>
      <c r="AM339" t="str">
        <f t="shared" ref="AM339:AM402" si="317">IMSUB(COMPLEX(1,0),IMDIV(COMPLEX(0,2*PI()*O339),COMPLEX(wz2_dcm,0)))</f>
        <v>1-0,128111437737755i</v>
      </c>
      <c r="AN339">
        <f t="shared" si="285"/>
        <v>1.0081728723186487</v>
      </c>
      <c r="AO339">
        <f t="shared" si="286"/>
        <v>-0.12741738170521055</v>
      </c>
      <c r="AP339" s="41" t="str">
        <f t="shared" si="287"/>
        <v>0,406920928261036-0,267959369189943i</v>
      </c>
      <c r="AQ339">
        <f t="shared" si="288"/>
        <v>-6.2454331421433826</v>
      </c>
      <c r="AR339" s="43">
        <f t="shared" si="289"/>
        <v>-33.365094197679383</v>
      </c>
      <c r="AS339" t="str">
        <f t="shared" ref="AS339:AS402" si="318">COMPLEX(Adc_ea,0)</f>
        <v>-0,0000166666666666667</v>
      </c>
      <c r="AT339" t="str">
        <f t="shared" ref="AT339:AT402" si="319">COMPLEX(0,2*PI()*O339*wp0_ea)</f>
        <v>0,000155093829963864i</v>
      </c>
      <c r="AU339">
        <f t="shared" si="290"/>
        <v>1.5509382996386399E-4</v>
      </c>
      <c r="AV339">
        <f t="shared" si="291"/>
        <v>1.5707963267948966</v>
      </c>
      <c r="AW339" t="str">
        <f t="shared" ref="AW339:AW402" si="320">IMSUM(COMPLEX(1,0),IMDIV(COMPLEX(0,2*PI()*O339),COMPLEX(wp1_ea,0)))</f>
        <v>1+0,486073379111469i</v>
      </c>
      <c r="AX339">
        <f t="shared" si="292"/>
        <v>1.1118755910086531</v>
      </c>
      <c r="AY339">
        <f t="shared" si="293"/>
        <v>0.45244436910831265</v>
      </c>
      <c r="AZ339" t="str">
        <f t="shared" ref="AZ339:AZ402" si="321">IMSUM(COMPLEX(1,0),IMDIV(COMPLEX(0,2*PI()*O339),COMPLEX(wz_ea,0)))</f>
        <v>1+33,6274401367116i</v>
      </c>
      <c r="BA339">
        <f t="shared" si="294"/>
        <v>33.642305660405057</v>
      </c>
      <c r="BB339">
        <f t="shared" si="295"/>
        <v>1.5410674691442054</v>
      </c>
      <c r="BC339" s="41" t="str">
        <f t="shared" si="296"/>
        <v>-2,88079431375214+1,50773925581781i</v>
      </c>
      <c r="BD339">
        <f t="shared" si="297"/>
        <v>10.241675697484085</v>
      </c>
      <c r="BE339" s="43">
        <f t="shared" si="298"/>
        <v>152.37350911250459</v>
      </c>
      <c r="BF339" s="41" t="str">
        <f t="shared" si="299"/>
        <v>-0,102566745659523+0,52552871238008i</v>
      </c>
      <c r="BG339" s="20">
        <f t="shared" si="300"/>
        <v>-5.4257175437581413</v>
      </c>
      <c r="BH339" s="43">
        <f t="shared" si="301"/>
        <v>101.04351938310897</v>
      </c>
      <c r="BI339" s="41" t="str">
        <f t="shared" si="306"/>
        <v>-0,76824263638928+1,38546648463199i</v>
      </c>
      <c r="BJ339" s="20">
        <f t="shared" si="302"/>
        <v>3.9962425553407233</v>
      </c>
      <c r="BK339" s="43">
        <f t="shared" si="307"/>
        <v>119.0084149148251</v>
      </c>
      <c r="BL339">
        <f t="shared" si="303"/>
        <v>-5.4257175437581413</v>
      </c>
      <c r="BM339" s="43">
        <f t="shared" si="304"/>
        <v>101.04351938310897</v>
      </c>
    </row>
    <row r="340" spans="14:65" x14ac:dyDescent="0.25">
      <c r="N340" s="9">
        <v>22</v>
      </c>
      <c r="O340" s="34">
        <f t="shared" si="308"/>
        <v>16595.869074375616</v>
      </c>
      <c r="P340" s="33" t="str">
        <f t="shared" si="309"/>
        <v>54,631621870174</v>
      </c>
      <c r="Q340" s="4" t="str">
        <f t="shared" si="310"/>
        <v>1+831,201491255025i</v>
      </c>
      <c r="R340" s="4">
        <f t="shared" ref="R340:R403" si="322">IMABS(Q340)</f>
        <v>831.20209279367043</v>
      </c>
      <c r="S340" s="4">
        <f t="shared" ref="S340:S403" si="323">IMARGUMENT(Q340)</f>
        <v>1.5695932496492755</v>
      </c>
      <c r="T340" s="4" t="str">
        <f t="shared" si="311"/>
        <v>1+2,08549841455986i</v>
      </c>
      <c r="U340" s="4">
        <f t="shared" ref="U340:U403" si="324">IMABS(T340)</f>
        <v>2.3128561643845669</v>
      </c>
      <c r="V340" s="4">
        <f t="shared" ref="V340:V403" si="325">IMARGUMENT(T340)</f>
        <v>1.1236814343015831</v>
      </c>
      <c r="W340" t="str">
        <f t="shared" si="312"/>
        <v>1-0,414945242401062i</v>
      </c>
      <c r="X340" s="4">
        <f t="shared" ref="X340:X403" si="326">IMABS(W340)</f>
        <v>1.0826724131477978</v>
      </c>
      <c r="Y340" s="4">
        <f t="shared" ref="Y340:Y403" si="327">IMARGUMENT(W340)</f>
        <v>-0.39332344807021113</v>
      </c>
      <c r="Z340" t="str">
        <f t="shared" si="313"/>
        <v>0,998898308518665+0,0570101202110989i</v>
      </c>
      <c r="AA340" s="4">
        <f t="shared" ref="AA340:AA403" si="328">IMABS(Z340)</f>
        <v>1.0005238550718989</v>
      </c>
      <c r="AB340" s="4">
        <f t="shared" ref="AB340:AB403" si="329">IMARGUMENT(Z340)</f>
        <v>5.7011149404370916E-2</v>
      </c>
      <c r="AC340" s="47" t="str">
        <f t="shared" ref="AC340:AC403" si="330">(IMDIV(IMPRODUCT(P340,T340,W340),IMPRODUCT(Q340,Z340)))</f>
        <v>0,102735385155122-0,128469533443289i</v>
      </c>
      <c r="AD340" s="20">
        <f t="shared" ref="AD340:AD403" si="331">20*LOG(IMABS(AC340))</f>
        <v>-15.676885721519167</v>
      </c>
      <c r="AE340" s="43">
        <f t="shared" ref="AE340:AE403" si="332">(180/PI())*IMARGUMENT(AC340)</f>
        <v>-51.35113685845608</v>
      </c>
      <c r="AF340" t="str">
        <f t="shared" si="314"/>
        <v>171,265703090588</v>
      </c>
      <c r="AG340" t="str">
        <f t="shared" si="315"/>
        <v>1+823,246878490534i</v>
      </c>
      <c r="AH340">
        <f t="shared" ref="AH340:AH403" si="333">IMABS(AG340)</f>
        <v>823.24748584153474</v>
      </c>
      <c r="AI340">
        <f t="shared" ref="AI340:AI403" si="334">IMARGUMENT(AG340)</f>
        <v>1.5695816249426406</v>
      </c>
      <c r="AJ340" t="str">
        <f t="shared" si="316"/>
        <v>1+2,08549841455986i</v>
      </c>
      <c r="AK340">
        <f t="shared" ref="AK340:AK403" si="335">IMABS(AJ340)</f>
        <v>2.3128561643845669</v>
      </c>
      <c r="AL340">
        <f t="shared" ref="AL340:AL403" si="336">IMARGUMENT(AJ340)</f>
        <v>1.1236814343015831</v>
      </c>
      <c r="AM340" t="str">
        <f t="shared" si="317"/>
        <v>1-0,131095536468058i</v>
      </c>
      <c r="AN340">
        <f t="shared" ref="AN340:AN403" si="337">IMABS(AM340)</f>
        <v>1.0085564137329392</v>
      </c>
      <c r="AO340">
        <f t="shared" ref="AO340:AO403" si="338">IMARGUMENT(AM340)</f>
        <v>-0.13035218236742627</v>
      </c>
      <c r="AP340" s="41" t="str">
        <f t="shared" ref="AP340:AP403" si="339">(IMDIV(IMPRODUCT(AF340,AJ340,AM340),IMPRODUCT(AG340)))</f>
        <v>0,406909047054638-0,264419778627443i</v>
      </c>
      <c r="AQ340">
        <f t="shared" ref="AQ340:AQ403" si="340">20*LOG(IMABS(AP340))</f>
        <v>-6.2802238146118405</v>
      </c>
      <c r="AR340" s="43">
        <f t="shared" ref="AR340:AR403" si="341">(180/PI())*IMARGUMENT(AP340)</f>
        <v>-33.01682890778455</v>
      </c>
      <c r="AS340" t="str">
        <f t="shared" si="318"/>
        <v>-0,0000166666666666667</v>
      </c>
      <c r="AT340" t="str">
        <f t="shared" si="319"/>
        <v>0,000158706429348005i</v>
      </c>
      <c r="AU340">
        <f t="shared" ref="AU340:AU403" si="342">IMABS(AT340)</f>
        <v>1.5870642934800501E-4</v>
      </c>
      <c r="AV340">
        <f t="shared" ref="AV340:AV403" si="343">IMARGUMENT(AT340)</f>
        <v>1.5707963267948966</v>
      </c>
      <c r="AW340" t="str">
        <f t="shared" si="320"/>
        <v>1+0,497395482578994i</v>
      </c>
      <c r="AX340">
        <f t="shared" ref="AX340:AX403" si="344">IMABS(AW340)</f>
        <v>1.1168716426205789</v>
      </c>
      <c r="AY340">
        <f t="shared" ref="AY340:AY403" si="345">IMARGUMENT(AW340)</f>
        <v>0.46156182510138483</v>
      </c>
      <c r="AZ340" t="str">
        <f t="shared" si="321"/>
        <v>1+34,4107238402377i</v>
      </c>
      <c r="BA340">
        <f t="shared" ref="BA340:BA403" si="346">IMABS(AZ340)</f>
        <v>34.425251127756546</v>
      </c>
      <c r="BB340">
        <f t="shared" ref="BB340:BB403" si="347">IMARGUMENT(AZ340)</f>
        <v>1.5417437954111122</v>
      </c>
      <c r="BC340" s="41" t="str">
        <f t="shared" ref="BC340:BC403" si="348">IMPRODUCT(AS340,IMDIV(AZ340,IMPRODUCT(AT340,AW340)))</f>
        <v>-2,85507890358551+1,52511904838329i</v>
      </c>
      <c r="BD340">
        <f t="shared" ref="BD340:BD403" si="349">20*LOG(IMABS(BC340))</f>
        <v>10.202561630968738</v>
      </c>
      <c r="BE340" s="43">
        <f t="shared" ref="BE340:BE403" si="350">(180/PI())*IMARGUMENT(BC340)</f>
        <v>151.88986800487294</v>
      </c>
      <c r="BF340" s="41" t="str">
        <f t="shared" ref="BF340:BF403" si="351">IMPRODUCT(AC340,BC340)</f>
        <v>-0,0973862982168466+0,523474347530478i</v>
      </c>
      <c r="BG340" s="20">
        <f t="shared" ref="BG340:BG403" si="352">20*LOG(IMABS(BF340))</f>
        <v>-5.4743240905504322</v>
      </c>
      <c r="BH340" s="43">
        <f t="shared" ref="BH340:BH403" si="353">(180/PI())*IMARGUMENT(BF340)</f>
        <v>100.53873114641688</v>
      </c>
      <c r="BI340" s="41" t="str">
        <f t="shared" si="306"/>
        <v>-0,758485794769775+1,37552407027248i</v>
      </c>
      <c r="BJ340" s="20">
        <f t="shared" ref="BJ340:BJ403" si="354">20*LOG(IMABS(BI340))</f>
        <v>3.9223378163568783</v>
      </c>
      <c r="BK340" s="43">
        <f t="shared" si="307"/>
        <v>118.87303909708848</v>
      </c>
      <c r="BL340">
        <f t="shared" ref="BL340:BL403" si="355">IF($B$31=0,BJ340,BG340)</f>
        <v>-5.4743240905504322</v>
      </c>
      <c r="BM340" s="43">
        <f t="shared" ref="BM340:BM403" si="356">IF($B$31=0,BK340,BH340)</f>
        <v>100.53873114641688</v>
      </c>
    </row>
    <row r="341" spans="14:65" x14ac:dyDescent="0.25">
      <c r="N341" s="9">
        <v>23</v>
      </c>
      <c r="O341" s="34">
        <f t="shared" si="308"/>
        <v>16982.436524617482</v>
      </c>
      <c r="P341" s="33" t="str">
        <f t="shared" si="309"/>
        <v>54,631621870174</v>
      </c>
      <c r="Q341" s="4" t="str">
        <f t="shared" si="310"/>
        <v>1+850,562661174584i</v>
      </c>
      <c r="R341" s="4">
        <f t="shared" si="322"/>
        <v>850.5632490205478</v>
      </c>
      <c r="S341" s="4">
        <f t="shared" si="323"/>
        <v>1.5696206350029849</v>
      </c>
      <c r="T341" s="4" t="str">
        <f t="shared" si="311"/>
        <v>1+2,13407591303174i</v>
      </c>
      <c r="U341" s="4">
        <f t="shared" si="324"/>
        <v>2.3567520027746354</v>
      </c>
      <c r="V341" s="4">
        <f t="shared" si="325"/>
        <v>1.132593500134311</v>
      </c>
      <c r="W341" t="str">
        <f t="shared" si="312"/>
        <v>1-0,424610558729248i</v>
      </c>
      <c r="X341" s="4">
        <f t="shared" si="326"/>
        <v>1.0864134234187115</v>
      </c>
      <c r="Y341" s="4">
        <f t="shared" si="327"/>
        <v>-0.4015407409415378</v>
      </c>
      <c r="Z341" t="str">
        <f t="shared" si="313"/>
        <v>0,998846387398749+0,0583380565011013i</v>
      </c>
      <c r="AA341" s="4">
        <f t="shared" si="328"/>
        <v>1.0005485667651806</v>
      </c>
      <c r="AB341" s="4">
        <f t="shared" si="329"/>
        <v>5.8339158570670388E-2</v>
      </c>
      <c r="AC341" s="47" t="str">
        <f t="shared" si="330"/>
        <v>0,102568413753295-0,128434596240114i</v>
      </c>
      <c r="AD341" s="20">
        <f t="shared" si="331"/>
        <v>-15.683833729646635</v>
      </c>
      <c r="AE341" s="43">
        <f t="shared" si="332"/>
        <v>-51.388987685619504</v>
      </c>
      <c r="AF341" t="str">
        <f t="shared" si="314"/>
        <v>171,265703090588</v>
      </c>
      <c r="AG341" t="str">
        <f t="shared" si="315"/>
        <v>1+842,422761676374i</v>
      </c>
      <c r="AH341">
        <f t="shared" si="333"/>
        <v>842.42335520238805</v>
      </c>
      <c r="AI341">
        <f t="shared" si="334"/>
        <v>1.5696092749062314</v>
      </c>
      <c r="AJ341" t="str">
        <f t="shared" si="316"/>
        <v>1+2,13407591303174i</v>
      </c>
      <c r="AK341">
        <f t="shared" si="335"/>
        <v>2.3567520027746354</v>
      </c>
      <c r="AL341">
        <f t="shared" si="336"/>
        <v>1.132593500134311</v>
      </c>
      <c r="AM341" t="str">
        <f t="shared" si="317"/>
        <v>1-0,13414914378705i</v>
      </c>
      <c r="AN341">
        <f t="shared" si="337"/>
        <v>1.0089578746304519</v>
      </c>
      <c r="AO341">
        <f t="shared" si="338"/>
        <v>-0.13335300695711358</v>
      </c>
      <c r="AP341" s="41" t="str">
        <f t="shared" si="339"/>
        <v>0,406897700589072-0,261020385632131i</v>
      </c>
      <c r="AQ341">
        <f t="shared" si="340"/>
        <v>-6.3134615563536141</v>
      </c>
      <c r="AR341" s="43">
        <f t="shared" si="341"/>
        <v>-32.679723959092023</v>
      </c>
      <c r="AS341" t="str">
        <f t="shared" si="318"/>
        <v>-0,0000166666666666667</v>
      </c>
      <c r="AT341" t="str">
        <f t="shared" si="319"/>
        <v>0,000162403176981715i</v>
      </c>
      <c r="AU341">
        <f t="shared" si="342"/>
        <v>1.6240317698171499E-4</v>
      </c>
      <c r="AV341">
        <f t="shared" si="343"/>
        <v>1.5707963267948966</v>
      </c>
      <c r="AW341" t="str">
        <f t="shared" si="320"/>
        <v>1+0,508981311715191i</v>
      </c>
      <c r="AX341">
        <f t="shared" si="344"/>
        <v>1.1220793089952763</v>
      </c>
      <c r="AY341">
        <f t="shared" si="345"/>
        <v>0.47080681598993868</v>
      </c>
      <c r="AZ341" t="str">
        <f t="shared" si="321"/>
        <v>1+35,2122525650237i</v>
      </c>
      <c r="BA341">
        <f t="shared" si="346"/>
        <v>35.226449305926621</v>
      </c>
      <c r="BB341">
        <f t="shared" si="347"/>
        <v>1.5424047523030504</v>
      </c>
      <c r="BC341" s="41" t="str">
        <f t="shared" si="348"/>
        <v>-2,82863906861142+1,54234967368385i</v>
      </c>
      <c r="BD341">
        <f t="shared" si="349"/>
        <v>10.161990896989625</v>
      </c>
      <c r="BE341" s="43">
        <f t="shared" si="350"/>
        <v>151.39803908567006</v>
      </c>
      <c r="BF341" s="41" t="str">
        <f t="shared" si="351"/>
        <v>-0,0920379647474143+0,521491476168785i</v>
      </c>
      <c r="BG341" s="20">
        <f t="shared" si="352"/>
        <v>-5.5218428326570024</v>
      </c>
      <c r="BH341" s="43">
        <f t="shared" si="353"/>
        <v>100.00905140005057</v>
      </c>
      <c r="BI341" s="41" t="str">
        <f t="shared" si="306"/>
        <v>-0,748382026209851+1,36591099622933i</v>
      </c>
      <c r="BJ341" s="20">
        <f t="shared" si="354"/>
        <v>3.8485293406360164</v>
      </c>
      <c r="BK341" s="43">
        <f t="shared" si="307"/>
        <v>118.71831512657801</v>
      </c>
      <c r="BL341">
        <f t="shared" si="355"/>
        <v>-5.5218428326570024</v>
      </c>
      <c r="BM341" s="43">
        <f t="shared" si="356"/>
        <v>100.00905140005057</v>
      </c>
    </row>
    <row r="342" spans="14:65" x14ac:dyDescent="0.25">
      <c r="N342" s="9">
        <v>24</v>
      </c>
      <c r="O342" s="34">
        <f t="shared" si="308"/>
        <v>17378.008287493791</v>
      </c>
      <c r="P342" s="33" t="str">
        <f t="shared" si="309"/>
        <v>54,631621870174</v>
      </c>
      <c r="Q342" s="4" t="str">
        <f t="shared" si="310"/>
        <v>1+870,374810675617i</v>
      </c>
      <c r="R342" s="4">
        <f t="shared" si="322"/>
        <v>870.37538514058178</v>
      </c>
      <c r="S342" s="4">
        <f t="shared" si="323"/>
        <v>1.5696473969916427</v>
      </c>
      <c r="T342" s="4" t="str">
        <f t="shared" si="311"/>
        <v>1+2,18378492680052i</v>
      </c>
      <c r="U342" s="4">
        <f t="shared" si="324"/>
        <v>2.4018569080028795</v>
      </c>
      <c r="V342" s="4">
        <f t="shared" si="325"/>
        <v>1.1413752227175846</v>
      </c>
      <c r="W342" t="str">
        <f t="shared" si="312"/>
        <v>1-0,434501009196053i</v>
      </c>
      <c r="X342" s="4">
        <f t="shared" si="326"/>
        <v>1.0903169846390492</v>
      </c>
      <c r="Y342" s="4">
        <f t="shared" si="327"/>
        <v>-0.40989048605330891</v>
      </c>
      <c r="Z342" t="str">
        <f t="shared" si="313"/>
        <v>0,998792019311839+0,0596969244008553i</v>
      </c>
      <c r="AA342" s="4">
        <f t="shared" si="328"/>
        <v>1.0005744453182595</v>
      </c>
      <c r="AB342" s="4">
        <f t="shared" si="329"/>
        <v>5.969810446965769E-2</v>
      </c>
      <c r="AC342" s="47" t="str">
        <f t="shared" si="330"/>
        <v>0,102393917208013-0,128467172094386i</v>
      </c>
      <c r="AD342" s="20">
        <f t="shared" si="331"/>
        <v>-15.688240108811765</v>
      </c>
      <c r="AE342" s="43">
        <f t="shared" si="332"/>
        <v>-51.44363241325766</v>
      </c>
      <c r="AF342" t="str">
        <f t="shared" si="314"/>
        <v>171,265703090588</v>
      </c>
      <c r="AG342" t="str">
        <f t="shared" si="315"/>
        <v>1+862,045308561228i</v>
      </c>
      <c r="AH342">
        <f t="shared" si="333"/>
        <v>862.04588857694978</v>
      </c>
      <c r="AI342">
        <f t="shared" si="334"/>
        <v>1.5696362954815641</v>
      </c>
      <c r="AJ342" t="str">
        <f t="shared" si="316"/>
        <v>1+2,18378492680052i</v>
      </c>
      <c r="AK342">
        <f t="shared" si="335"/>
        <v>2.4018569080028795</v>
      </c>
      <c r="AL342">
        <f t="shared" si="336"/>
        <v>1.1413752227175846</v>
      </c>
      <c r="AM342" t="str">
        <f t="shared" si="317"/>
        <v>1-0,137273878757751i</v>
      </c>
      <c r="AN342">
        <f t="shared" si="337"/>
        <v>1.0093780846586664</v>
      </c>
      <c r="AO342">
        <f t="shared" si="338"/>
        <v>-0.1364212302585775</v>
      </c>
      <c r="AP342" s="41" t="str">
        <f t="shared" si="339"/>
        <v>0,406886864797172-0,257759387887582i</v>
      </c>
      <c r="AQ342">
        <f t="shared" si="340"/>
        <v>-6.3451796275911896</v>
      </c>
      <c r="AR342" s="43">
        <f t="shared" si="341"/>
        <v>-32.35391272891998</v>
      </c>
      <c r="AS342" t="str">
        <f t="shared" si="318"/>
        <v>-0,0000166666666666667</v>
      </c>
      <c r="AT342" t="str">
        <f t="shared" si="319"/>
        <v>0,00016618603292952i</v>
      </c>
      <c r="AU342">
        <f t="shared" si="342"/>
        <v>1.6618603292952E-4</v>
      </c>
      <c r="AV342">
        <f t="shared" si="343"/>
        <v>1.5707963267948966</v>
      </c>
      <c r="AW342" t="str">
        <f t="shared" si="320"/>
        <v>1+0,520837009480019i</v>
      </c>
      <c r="AX342">
        <f t="shared" si="344"/>
        <v>1.1275066254546309</v>
      </c>
      <c r="AY342">
        <f t="shared" si="345"/>
        <v>0.48017792131715181</v>
      </c>
      <c r="AZ342" t="str">
        <f t="shared" si="321"/>
        <v>1+36,0324512922086i</v>
      </c>
      <c r="BA342">
        <f t="shared" si="346"/>
        <v>36.046325001661195</v>
      </c>
      <c r="BB342">
        <f t="shared" si="347"/>
        <v>1.5430506879568042</v>
      </c>
      <c r="BC342" s="41" t="str">
        <f t="shared" si="348"/>
        <v>-2,80147298308096+1,55940002492608i</v>
      </c>
      <c r="BD342">
        <f t="shared" si="349"/>
        <v>10.119922406902454</v>
      </c>
      <c r="BE342" s="43">
        <f t="shared" si="350"/>
        <v>150.89812368784536</v>
      </c>
      <c r="BF342" s="41" t="str">
        <f t="shared" si="351"/>
        <v>-0,0865220813239085+0,519570388881689i</v>
      </c>
      <c r="BG342" s="20">
        <f t="shared" si="352"/>
        <v>-5.5683177019093133</v>
      </c>
      <c r="BH342" s="43">
        <f t="shared" si="353"/>
        <v>99.454491274587696</v>
      </c>
      <c r="BI342" s="41" t="str">
        <f t="shared" si="306"/>
        <v>-0,737932563002966+1,35660534840935i</v>
      </c>
      <c r="BJ342" s="20">
        <f t="shared" si="354"/>
        <v>3.7747427793112589</v>
      </c>
      <c r="BK342" s="43">
        <f t="shared" si="307"/>
        <v>118.54421095892539</v>
      </c>
      <c r="BL342">
        <f t="shared" si="355"/>
        <v>-5.5683177019093133</v>
      </c>
      <c r="BM342" s="43">
        <f t="shared" si="356"/>
        <v>99.454491274587696</v>
      </c>
    </row>
    <row r="343" spans="14:65" x14ac:dyDescent="0.25">
      <c r="N343" s="9">
        <v>25</v>
      </c>
      <c r="O343" s="34">
        <f t="shared" si="308"/>
        <v>17782.794100389234</v>
      </c>
      <c r="P343" s="33" t="str">
        <f t="shared" si="309"/>
        <v>54,631621870174</v>
      </c>
      <c r="Q343" s="4" t="str">
        <f t="shared" si="310"/>
        <v>1+890,648444422042i</v>
      </c>
      <c r="R343" s="4">
        <f t="shared" si="322"/>
        <v>890.64900581059601</v>
      </c>
      <c r="S343" s="4">
        <f t="shared" si="323"/>
        <v>1.5696735498046561</v>
      </c>
      <c r="T343" s="4" t="str">
        <f t="shared" si="311"/>
        <v>1+2,2346518122433i</v>
      </c>
      <c r="U343" s="4">
        <f t="shared" si="324"/>
        <v>2.448197034954962</v>
      </c>
      <c r="V343" s="4">
        <f t="shared" si="325"/>
        <v>1.150025839337681</v>
      </c>
      <c r="W343" t="str">
        <f t="shared" si="312"/>
        <v>1-0,444621837849234i</v>
      </c>
      <c r="X343" s="4">
        <f t="shared" si="326"/>
        <v>1.0943895918238762</v>
      </c>
      <c r="Y343" s="4">
        <f t="shared" si="327"/>
        <v>-0.41837245246320898</v>
      </c>
      <c r="Z343" t="str">
        <f t="shared" si="313"/>
        <v>0,998735088935933+0,0610874444001089i</v>
      </c>
      <c r="AA343" s="4">
        <f t="shared" si="328"/>
        <v>1.0006015459388429</v>
      </c>
      <c r="AB343" s="4">
        <f t="shared" si="329"/>
        <v>6.108870794660453E-2</v>
      </c>
      <c r="AC343" s="47" t="str">
        <f t="shared" si="330"/>
        <v>0,102211527753702-0,128567236557707i</v>
      </c>
      <c r="AD343" s="20">
        <f t="shared" si="331"/>
        <v>-15.69010683111067</v>
      </c>
      <c r="AE343" s="43">
        <f t="shared" si="332"/>
        <v>-51.515143624012772</v>
      </c>
      <c r="AF343" t="str">
        <f t="shared" si="314"/>
        <v>171,265703090588</v>
      </c>
      <c r="AG343" t="str">
        <f t="shared" si="315"/>
        <v>1+882,124923279201i</v>
      </c>
      <c r="AH343">
        <f t="shared" si="333"/>
        <v>882.12549009216161</v>
      </c>
      <c r="AI343">
        <f t="shared" si="334"/>
        <v>1.5696627009951478</v>
      </c>
      <c r="AJ343" t="str">
        <f t="shared" si="316"/>
        <v>1+2,2346518122433i</v>
      </c>
      <c r="AK343">
        <f t="shared" si="335"/>
        <v>2.448197034954962</v>
      </c>
      <c r="AL343">
        <f t="shared" si="336"/>
        <v>1.150025839337681</v>
      </c>
      <c r="AM343" t="str">
        <f t="shared" si="317"/>
        <v>1-0,140471398156004i</v>
      </c>
      <c r="AN343">
        <f t="shared" si="337"/>
        <v>1.0098179111601766</v>
      </c>
      <c r="AO343">
        <f t="shared" si="338"/>
        <v>-0.13955824788866825</v>
      </c>
      <c r="AP343" s="41" t="str">
        <f t="shared" si="339"/>
        <v>0,406876516694959-0,254635056450565i</v>
      </c>
      <c r="AQ343">
        <f t="shared" si="340"/>
        <v>-6.3754106560639947</v>
      </c>
      <c r="AR343" s="43">
        <f t="shared" si="341"/>
        <v>-32.039519701349271</v>
      </c>
      <c r="AS343" t="str">
        <f t="shared" si="318"/>
        <v>-0,0000166666666666667</v>
      </c>
      <c r="AT343" t="str">
        <f t="shared" si="319"/>
        <v>0,000170057002911716i</v>
      </c>
      <c r="AU343">
        <f t="shared" si="342"/>
        <v>1.70057002911716E-4</v>
      </c>
      <c r="AV343">
        <f t="shared" si="343"/>
        <v>1.5707963267948966</v>
      </c>
      <c r="AW343" t="str">
        <f t="shared" si="320"/>
        <v>1+0,532968861921365i</v>
      </c>
      <c r="AX343">
        <f t="shared" si="344"/>
        <v>1.1331618630088796</v>
      </c>
      <c r="AY343">
        <f t="shared" si="345"/>
        <v>0.48967352529188857</v>
      </c>
      <c r="AZ343" t="str">
        <f t="shared" si="321"/>
        <v>1+36,8717549020145i</v>
      </c>
      <c r="BA343">
        <f t="shared" si="346"/>
        <v>36.885312924716132</v>
      </c>
      <c r="BB343">
        <f t="shared" si="347"/>
        <v>1.5436819426987287</v>
      </c>
      <c r="BC343" s="41" t="str">
        <f t="shared" si="348"/>
        <v>-2,77358030128134+1,57623828967541i</v>
      </c>
      <c r="BD343">
        <f t="shared" si="349"/>
        <v>10.076315026355697</v>
      </c>
      <c r="BE343" s="43">
        <f t="shared" si="350"/>
        <v>150.39023388867514</v>
      </c>
      <c r="BF343" s="41" t="str">
        <f t="shared" si="351"/>
        <v>-0,0808392788815249+0,51770127839824i</v>
      </c>
      <c r="BG343" s="20">
        <f t="shared" si="352"/>
        <v>-5.6137918047549782</v>
      </c>
      <c r="BH343" s="43">
        <f t="shared" si="353"/>
        <v>98.875090264662347</v>
      </c>
      <c r="BI343" s="41" t="str">
        <f t="shared" si="306"/>
        <v>-0,727139165888066+1,3475851213713i</v>
      </c>
      <c r="BJ343" s="20">
        <f t="shared" si="354"/>
        <v>3.7009043702917026</v>
      </c>
      <c r="BK343" s="43">
        <f t="shared" si="307"/>
        <v>118.35071418732583</v>
      </c>
      <c r="BL343">
        <f t="shared" si="355"/>
        <v>-5.6137918047549782</v>
      </c>
      <c r="BM343" s="43">
        <f t="shared" si="356"/>
        <v>98.875090264662347</v>
      </c>
    </row>
    <row r="344" spans="14:65" x14ac:dyDescent="0.25">
      <c r="N344" s="9">
        <v>26</v>
      </c>
      <c r="O344" s="34">
        <f t="shared" si="308"/>
        <v>18197.008586099837</v>
      </c>
      <c r="P344" s="33" t="str">
        <f t="shared" si="309"/>
        <v>54,631621870174</v>
      </c>
      <c r="Q344" s="4" t="str">
        <f t="shared" si="310"/>
        <v>1+911,394311762832i</v>
      </c>
      <c r="R344" s="4">
        <f t="shared" si="322"/>
        <v>911.39486037263032</v>
      </c>
      <c r="S344" s="4">
        <f t="shared" si="323"/>
        <v>1.5696991073084496</v>
      </c>
      <c r="T344" s="4" t="str">
        <f t="shared" si="311"/>
        <v>1+2,28670353965606i</v>
      </c>
      <c r="U344" s="4">
        <f t="shared" si="324"/>
        <v>2.4957990861196246</v>
      </c>
      <c r="V344" s="4">
        <f t="shared" si="325"/>
        <v>1.1585447568051497</v>
      </c>
      <c r="W344" t="str">
        <f t="shared" si="312"/>
        <v>1-0,454978410886112i</v>
      </c>
      <c r="X344" s="4">
        <f t="shared" si="326"/>
        <v>1.0986379541834752</v>
      </c>
      <c r="Y344" s="4">
        <f t="shared" si="327"/>
        <v>-0.42698625457844774</v>
      </c>
      <c r="Z344" t="str">
        <f t="shared" si="313"/>
        <v>0,99867547551407+0,0625103537709717i</v>
      </c>
      <c r="AA344" s="4">
        <f t="shared" si="328"/>
        <v>1.0006299264572422</v>
      </c>
      <c r="AB344" s="4">
        <f t="shared" si="329"/>
        <v>6.251170665324704E-2</v>
      </c>
      <c r="AC344" s="47" t="str">
        <f t="shared" si="330"/>
        <v>0,102020861111103-0,128734797982913i</v>
      </c>
      <c r="AD344" s="20">
        <f t="shared" si="331"/>
        <v>-15.68943498259223</v>
      </c>
      <c r="AE344" s="43">
        <f t="shared" si="332"/>
        <v>-51.603576271115763</v>
      </c>
      <c r="AF344" t="str">
        <f t="shared" si="314"/>
        <v>171,265703090588</v>
      </c>
      <c r="AG344" t="str">
        <f t="shared" si="315"/>
        <v>1+902,672252307805i</v>
      </c>
      <c r="AH344">
        <f t="shared" si="333"/>
        <v>902.67280621853547</v>
      </c>
      <c r="AI344">
        <f t="shared" si="334"/>
        <v>1.5696885054473877</v>
      </c>
      <c r="AJ344" t="str">
        <f t="shared" si="316"/>
        <v>1+2,28670353965606i</v>
      </c>
      <c r="AK344">
        <f t="shared" si="335"/>
        <v>2.4957990861196246</v>
      </c>
      <c r="AL344">
        <f t="shared" si="336"/>
        <v>1.1585447568051497</v>
      </c>
      <c r="AM344" t="str">
        <f t="shared" si="317"/>
        <v>1-0,143743397348919i</v>
      </c>
      <c r="AN344">
        <f t="shared" si="337"/>
        <v>1.0102782608179832</v>
      </c>
      <c r="AO344">
        <f t="shared" si="338"/>
        <v>-0.14276547603783354</v>
      </c>
      <c r="AP344" s="41" t="str">
        <f t="shared" si="339"/>
        <v>0,406866634332899-0,251645734834741i</v>
      </c>
      <c r="AQ344">
        <f t="shared" si="340"/>
        <v>-6.4041865618340701</v>
      </c>
      <c r="AR344" s="43">
        <f t="shared" si="341"/>
        <v>-31.736660807531795</v>
      </c>
      <c r="AS344" t="str">
        <f t="shared" si="318"/>
        <v>-0,0000166666666666667</v>
      </c>
      <c r="AT344" t="str">
        <f t="shared" si="319"/>
        <v>0,000174018139367827i</v>
      </c>
      <c r="AU344">
        <f t="shared" si="342"/>
        <v>1.74018139367827E-4</v>
      </c>
      <c r="AV344">
        <f t="shared" si="343"/>
        <v>1.5707963267948966</v>
      </c>
      <c r="AW344" t="str">
        <f t="shared" si="320"/>
        <v>1+0,545383301507983i</v>
      </c>
      <c r="AX344">
        <f t="shared" si="344"/>
        <v>1.1390535305962348</v>
      </c>
      <c r="AY344">
        <f t="shared" si="345"/>
        <v>0.49929181228067204</v>
      </c>
      <c r="AZ344" t="str">
        <f t="shared" si="321"/>
        <v>1+37,730608404325i</v>
      </c>
      <c r="BA344">
        <f t="shared" si="346"/>
        <v>37.74385791834905</v>
      </c>
      <c r="BB344">
        <f t="shared" si="347"/>
        <v>1.5442988492149397</v>
      </c>
      <c r="BC344" s="41" t="str">
        <f t="shared" si="348"/>
        <v>-2,74496224005504+1,59283202509044i</v>
      </c>
      <c r="BD344">
        <f t="shared" si="349"/>
        <v>10.031127660036558</v>
      </c>
      <c r="BE344" s="43">
        <f t="shared" si="350"/>
        <v>149.87449277780541</v>
      </c>
      <c r="BF344" s="41" t="str">
        <f t="shared" si="351"/>
        <v>-0,0749905024771454+0,515874254249279i</v>
      </c>
      <c r="BG344" s="20">
        <f t="shared" si="352"/>
        <v>-5.6583073225556655</v>
      </c>
      <c r="BH344" s="43">
        <f t="shared" si="353"/>
        <v>98.270916506689616</v>
      </c>
      <c r="BI344" s="41" t="str">
        <f t="shared" si="306"/>
        <v>-0,716004162559897+1,33882824509847i</v>
      </c>
      <c r="BJ344" s="20">
        <f t="shared" si="354"/>
        <v>3.6269410982024879</v>
      </c>
      <c r="BK344" s="43">
        <f t="shared" si="307"/>
        <v>118.1378319702736</v>
      </c>
      <c r="BL344">
        <f t="shared" si="355"/>
        <v>-5.6583073225556655</v>
      </c>
      <c r="BM344" s="43">
        <f t="shared" si="356"/>
        <v>98.270916506689616</v>
      </c>
    </row>
    <row r="345" spans="14:65" x14ac:dyDescent="0.25">
      <c r="N345" s="9">
        <v>27</v>
      </c>
      <c r="O345" s="34">
        <f t="shared" si="308"/>
        <v>18620.871366628675</v>
      </c>
      <c r="P345" s="33" t="str">
        <f t="shared" si="309"/>
        <v>54,631621870174</v>
      </c>
      <c r="Q345" s="4" t="str">
        <f t="shared" si="310"/>
        <v>1+932,623412431446i</v>
      </c>
      <c r="R345" s="4">
        <f t="shared" si="322"/>
        <v>932.62394855336777</v>
      </c>
      <c r="S345" s="4">
        <f t="shared" si="323"/>
        <v>1.5697240830538164</v>
      </c>
      <c r="T345" s="4" t="str">
        <f t="shared" si="311"/>
        <v>1+2,33996770755364i</v>
      </c>
      <c r="U345" s="4">
        <f t="shared" si="324"/>
        <v>2.5446903293709116</v>
      </c>
      <c r="V345" s="4">
        <f t="shared" si="325"/>
        <v>1.1669315450410211</v>
      </c>
      <c r="W345" t="str">
        <f t="shared" si="312"/>
        <v>1-0,465576219498792i</v>
      </c>
      <c r="X345" s="4">
        <f t="shared" si="326"/>
        <v>1.1030689988222802</v>
      </c>
      <c r="Y345" s="4">
        <f t="shared" si="327"/>
        <v>-0.43573134552467979</v>
      </c>
      <c r="Z345" t="str">
        <f t="shared" si="313"/>
        <v>0,99861305259819+0,0639664069588261i</v>
      </c>
      <c r="AA345" s="4">
        <f t="shared" si="328"/>
        <v>1.0006596474519682</v>
      </c>
      <c r="AB345" s="4">
        <f t="shared" si="329"/>
        <v>6.396785544025943E-2</v>
      </c>
      <c r="AC345" s="47" t="str">
        <f t="shared" si="330"/>
        <v>0,101821515694201-0,128969897316103i</v>
      </c>
      <c r="AD345" s="20">
        <f t="shared" si="331"/>
        <v>-15.68622475808446</v>
      </c>
      <c r="AE345" s="43">
        <f t="shared" si="332"/>
        <v>-51.708967688846379</v>
      </c>
      <c r="AF345" t="str">
        <f t="shared" si="314"/>
        <v>171,265703090588</v>
      </c>
      <c r="AG345" t="str">
        <f t="shared" si="315"/>
        <v>1+923,698190112861i</v>
      </c>
      <c r="AH345">
        <f t="shared" si="333"/>
        <v>923.69873141505127</v>
      </c>
      <c r="AI345">
        <f t="shared" si="334"/>
        <v>1.5697137225200084</v>
      </c>
      <c r="AJ345" t="str">
        <f t="shared" si="316"/>
        <v>1+2,33996770755364i</v>
      </c>
      <c r="AK345">
        <f t="shared" si="335"/>
        <v>2.5446903293709116</v>
      </c>
      <c r="AL345">
        <f t="shared" si="336"/>
        <v>1.1669315450410211</v>
      </c>
      <c r="AM345" t="str">
        <f t="shared" si="317"/>
        <v>1-0,147091611193776i</v>
      </c>
      <c r="AN345">
        <f t="shared" si="337"/>
        <v>1.010760081366286</v>
      </c>
      <c r="AO345">
        <f t="shared" si="338"/>
        <v>-0.14604435115844414</v>
      </c>
      <c r="AP345" s="41" t="str">
        <f t="shared" si="339"/>
        <v>0,406857196749331-0,248789838132716i</v>
      </c>
      <c r="AQ345">
        <f t="shared" si="340"/>
        <v>-6.4315384866679226</v>
      </c>
      <c r="AR345" s="43">
        <f t="shared" si="341"/>
        <v>-31.445443775740557</v>
      </c>
      <c r="AS345" t="str">
        <f t="shared" si="318"/>
        <v>-0,0000166666666666667</v>
      </c>
      <c r="AT345" t="str">
        <f t="shared" si="319"/>
        <v>0,000178071542544833i</v>
      </c>
      <c r="AU345">
        <f t="shared" si="342"/>
        <v>1.78071542544833E-4</v>
      </c>
      <c r="AV345">
        <f t="shared" si="343"/>
        <v>1.5707963267948966</v>
      </c>
      <c r="AW345" t="str">
        <f t="shared" si="320"/>
        <v>1+0,55808691054006i</v>
      </c>
      <c r="AX345">
        <f t="shared" si="344"/>
        <v>1.1451903770623244</v>
      </c>
      <c r="AY345">
        <f t="shared" si="345"/>
        <v>0.50903076281804038</v>
      </c>
      <c r="AZ345" t="str">
        <f t="shared" si="321"/>
        <v>1+38,6094671746351i</v>
      </c>
      <c r="BA345">
        <f t="shared" si="346"/>
        <v>38.622415195184594</v>
      </c>
      <c r="BB345">
        <f t="shared" si="347"/>
        <v>1.5449017327181354</v>
      </c>
      <c r="BC345" s="41" t="str">
        <f t="shared" si="348"/>
        <v>-2,71562165780691+1,60914824175068i</v>
      </c>
      <c r="BD345">
        <f t="shared" si="349"/>
        <v>9.9843193409874136</v>
      </c>
      <c r="BE345" s="43">
        <f t="shared" si="350"/>
        <v>149.35103469539857</v>
      </c>
      <c r="BF345" s="41" t="str">
        <f t="shared" si="351"/>
        <v>-0,0689770297449255+0,514079359308455i</v>
      </c>
      <c r="BG345" s="20">
        <f t="shared" si="352"/>
        <v>-5.701905417097052</v>
      </c>
      <c r="BH345" s="43">
        <f t="shared" si="353"/>
        <v>97.642067006552196</v>
      </c>
      <c r="BI345" s="41" t="str">
        <f t="shared" si="306"/>
        <v>-0,704530484530394+1,33031261546828i</v>
      </c>
      <c r="BJ345" s="20">
        <f t="shared" si="354"/>
        <v>3.5527808543195158</v>
      </c>
      <c r="BK345" s="43">
        <f t="shared" si="307"/>
        <v>117.90559091965795</v>
      </c>
      <c r="BL345">
        <f t="shared" si="355"/>
        <v>-5.701905417097052</v>
      </c>
      <c r="BM345" s="43">
        <f t="shared" si="356"/>
        <v>97.642067006552196</v>
      </c>
    </row>
    <row r="346" spans="14:65" x14ac:dyDescent="0.25">
      <c r="N346" s="9">
        <v>28</v>
      </c>
      <c r="O346" s="34">
        <f t="shared" si="308"/>
        <v>19054.607179632505</v>
      </c>
      <c r="P346" s="33" t="str">
        <f t="shared" si="309"/>
        <v>54,631621870174</v>
      </c>
      <c r="Q346" s="4" t="str">
        <f t="shared" si="310"/>
        <v>1+954,34700237807i</v>
      </c>
      <c r="R346" s="4">
        <f t="shared" si="322"/>
        <v>954.34752629637387</v>
      </c>
      <c r="S346" s="4">
        <f t="shared" si="323"/>
        <v>1.5697484902831027</v>
      </c>
      <c r="T346" s="4" t="str">
        <f t="shared" si="311"/>
        <v>1+2,39447255730292i</v>
      </c>
      <c r="U346" s="4">
        <f t="shared" si="324"/>
        <v>2.5948986160689955</v>
      </c>
      <c r="V346" s="4">
        <f t="shared" si="325"/>
        <v>1.1751859304869707</v>
      </c>
      <c r="W346" t="str">
        <f t="shared" si="312"/>
        <v>1-0,476420882785683i</v>
      </c>
      <c r="X346" s="4">
        <f t="shared" si="326"/>
        <v>1.107689874267292</v>
      </c>
      <c r="Y346" s="4">
        <f t="shared" si="327"/>
        <v>-0.44460701067832392</v>
      </c>
      <c r="Z346" t="str">
        <f t="shared" si="313"/>
        <v>0,99854768778092+0,0654563759823461i</v>
      </c>
      <c r="AA346" s="4">
        <f t="shared" si="328"/>
        <v>1.0006907723814404</v>
      </c>
      <c r="AB346" s="4">
        <f t="shared" si="329"/>
        <v>6.5457926758927462E-2</v>
      </c>
      <c r="AC346" s="47" t="str">
        <f t="shared" si="330"/>
        <v>0,101613071782567-0,129272607890796i</v>
      </c>
      <c r="AD346" s="20">
        <f t="shared" si="331"/>
        <v>-15.680475465845415</v>
      </c>
      <c r="AE346" s="43">
        <f t="shared" si="332"/>
        <v>-51.831337622955175</v>
      </c>
      <c r="AF346" t="str">
        <f t="shared" si="314"/>
        <v>171,265703090588</v>
      </c>
      <c r="AG346" t="str">
        <f t="shared" si="315"/>
        <v>1+945,213884924914i</v>
      </c>
      <c r="AH346">
        <f t="shared" si="333"/>
        <v>945.21441390556913</v>
      </c>
      <c r="AI346">
        <f t="shared" si="334"/>
        <v>1.5697383655833075</v>
      </c>
      <c r="AJ346" t="str">
        <f t="shared" si="316"/>
        <v>1+2,39447255730292i</v>
      </c>
      <c r="AK346">
        <f t="shared" si="335"/>
        <v>2.5948986160689955</v>
      </c>
      <c r="AL346">
        <f t="shared" si="336"/>
        <v>1.1751859304869707</v>
      </c>
      <c r="AM346" t="str">
        <f t="shared" si="317"/>
        <v>1-0,150517814957878i</v>
      </c>
      <c r="AN346">
        <f t="shared" si="337"/>
        <v>1.0112643633687948</v>
      </c>
      <c r="AO346">
        <f t="shared" si="338"/>
        <v>-0.14939632959658092</v>
      </c>
      <c r="AP346" s="41" t="str">
        <f t="shared" si="339"/>
        <v>0,40684818392602-0,246065852176053i</v>
      </c>
      <c r="AQ346">
        <f t="shared" si="340"/>
        <v>-6.4574967279410709</v>
      </c>
      <c r="AR346" s="43">
        <f t="shared" si="341"/>
        <v>-31.165968488258901</v>
      </c>
      <c r="AS346" t="str">
        <f t="shared" si="318"/>
        <v>-0,0000166666666666667</v>
      </c>
      <c r="AT346" t="str">
        <f t="shared" si="319"/>
        <v>0,000182219361610752i</v>
      </c>
      <c r="AU346">
        <f t="shared" si="342"/>
        <v>1.8221936161075199E-4</v>
      </c>
      <c r="AV346">
        <f t="shared" si="343"/>
        <v>1.5707963267948966</v>
      </c>
      <c r="AW346" t="str">
        <f t="shared" si="320"/>
        <v>1+0,571086424639264i</v>
      </c>
      <c r="AX346">
        <f t="shared" si="344"/>
        <v>1.1515813928712368</v>
      </c>
      <c r="AY346">
        <f t="shared" si="345"/>
        <v>0.51888815019070389</v>
      </c>
      <c r="AZ346" t="str">
        <f t="shared" si="321"/>
        <v>1+39,5087971954982i</v>
      </c>
      <c r="BA346">
        <f t="shared" si="346"/>
        <v>39.521450578578296</v>
      </c>
      <c r="BB346">
        <f t="shared" si="347"/>
        <v>1.5454909111110919</v>
      </c>
      <c r="BC346" s="41" t="str">
        <f t="shared" si="348"/>
        <v>-2,68556312910497+1,62515349603664i</v>
      </c>
      <c r="BD346">
        <f t="shared" si="349"/>
        <v>9.935849324269121</v>
      </c>
      <c r="BE346" s="43">
        <f t="shared" si="350"/>
        <v>148.82000543721614</v>
      </c>
      <c r="BF346" s="41" t="str">
        <f t="shared" si="351"/>
        <v>-0,0628004883588577+0,512306588205227i</v>
      </c>
      <c r="BG346" s="20">
        <f t="shared" si="352"/>
        <v>-5.7446261415762914</v>
      </c>
      <c r="BH346" s="43">
        <f t="shared" si="353"/>
        <v>96.988667814260978</v>
      </c>
      <c r="BI346" s="41" t="str">
        <f t="shared" si="306"/>
        <v>-0,692721701975889+1,32201612839933i</v>
      </c>
      <c r="BJ346" s="20">
        <f t="shared" si="354"/>
        <v>3.4783525963280453</v>
      </c>
      <c r="BK346" s="43">
        <f t="shared" si="307"/>
        <v>117.65403694895728</v>
      </c>
      <c r="BL346">
        <f t="shared" si="355"/>
        <v>-5.7446261415762914</v>
      </c>
      <c r="BM346" s="43">
        <f t="shared" si="356"/>
        <v>96.988667814260978</v>
      </c>
    </row>
    <row r="347" spans="14:65" x14ac:dyDescent="0.25">
      <c r="N347" s="9">
        <v>29</v>
      </c>
      <c r="O347" s="34">
        <f t="shared" si="308"/>
        <v>19498.445997580486</v>
      </c>
      <c r="P347" s="33" t="str">
        <f t="shared" si="309"/>
        <v>54,631621870174</v>
      </c>
      <c r="Q347" s="4" t="str">
        <f t="shared" si="310"/>
        <v>1+976,576599737617i</v>
      </c>
      <c r="R347" s="4">
        <f t="shared" si="322"/>
        <v>976.57711173009068</v>
      </c>
      <c r="S347" s="4">
        <f t="shared" si="323"/>
        <v>1.5697723419372278</v>
      </c>
      <c r="T347" s="4" t="str">
        <f t="shared" si="311"/>
        <v>1+2,45024698809664i</v>
      </c>
      <c r="U347" s="4">
        <f t="shared" si="324"/>
        <v>2.6464523994730484</v>
      </c>
      <c r="V347" s="4">
        <f t="shared" si="325"/>
        <v>1.1833077893837591</v>
      </c>
      <c r="W347" t="str">
        <f t="shared" si="312"/>
        <v>1-0,487518150730798i</v>
      </c>
      <c r="X347" s="4">
        <f t="shared" si="326"/>
        <v>1.1125079538106579</v>
      </c>
      <c r="Y347" s="4">
        <f t="shared" si="327"/>
        <v>-0.45361236140844069</v>
      </c>
      <c r="Z347" t="str">
        <f t="shared" si="313"/>
        <v>0,998479242414718+0,0669810508428287i</v>
      </c>
      <c r="AA347" s="4">
        <f t="shared" si="328"/>
        <v>1.0007233677221086</v>
      </c>
      <c r="AB347" s="4">
        <f t="shared" si="329"/>
        <v>6.698271107223111E-2</v>
      </c>
      <c r="AC347" s="47" t="str">
        <f t="shared" si="330"/>
        <v>0,101395090657561-0,129643035223081i</v>
      </c>
      <c r="AD347" s="20">
        <f t="shared" si="331"/>
        <v>-15.672185542018557</v>
      </c>
      <c r="AE347" s="43">
        <f t="shared" si="332"/>
        <v>-51.970688281175534</v>
      </c>
      <c r="AF347" t="str">
        <f t="shared" si="314"/>
        <v>171,265703090588</v>
      </c>
      <c r="AG347" t="str">
        <f t="shared" si="315"/>
        <v>1+967,230744650126i</v>
      </c>
      <c r="AH347">
        <f t="shared" si="333"/>
        <v>967.23126158971786</v>
      </c>
      <c r="AI347">
        <f t="shared" si="334"/>
        <v>1.5697624477032432</v>
      </c>
      <c r="AJ347" t="str">
        <f t="shared" si="316"/>
        <v>1+2,45024698809664i</v>
      </c>
      <c r="AK347">
        <f t="shared" si="335"/>
        <v>2.6464523994730484</v>
      </c>
      <c r="AL347">
        <f t="shared" si="336"/>
        <v>1.1833077893837591</v>
      </c>
      <c r="AM347" t="str">
        <f t="shared" si="317"/>
        <v>1-0,154023825259807i</v>
      </c>
      <c r="AN347">
        <f t="shared" si="337"/>
        <v>1.0117921420665728</v>
      </c>
      <c r="AO347">
        <f t="shared" si="338"/>
        <v>-0.15282288716323436</v>
      </c>
      <c r="AP347" s="41" t="str">
        <f t="shared" si="339"/>
        <v>0,406839576745691-0,243472332732743i</v>
      </c>
      <c r="AQ347">
        <f t="shared" si="340"/>
        <v>-6.4820906769864575</v>
      </c>
      <c r="AR347" s="43">
        <f t="shared" si="341"/>
        <v>-30.898327342334035</v>
      </c>
      <c r="AS347" t="str">
        <f t="shared" si="318"/>
        <v>-0,0000166666666666667</v>
      </c>
      <c r="AT347" t="str">
        <f t="shared" si="319"/>
        <v>0,000186463795794155i</v>
      </c>
      <c r="AU347">
        <f t="shared" si="342"/>
        <v>1.8646379579415501E-4</v>
      </c>
      <c r="AV347">
        <f t="shared" si="343"/>
        <v>1.5707963267948966</v>
      </c>
      <c r="AW347" t="str">
        <f t="shared" si="320"/>
        <v>1+0,584388736320026i</v>
      </c>
      <c r="AX347">
        <f t="shared" si="344"/>
        <v>1.1582358115417244</v>
      </c>
      <c r="AY347">
        <f t="shared" si="345"/>
        <v>0.52886153765024102</v>
      </c>
      <c r="AZ347" t="str">
        <f t="shared" si="321"/>
        <v>1+40,4290753035946i</v>
      </c>
      <c r="BA347">
        <f t="shared" si="346"/>
        <v>40.441440749603906</v>
      </c>
      <c r="BB347">
        <f t="shared" si="347"/>
        <v>1.5460666951468769</v>
      </c>
      <c r="BC347" s="41" t="str">
        <f t="shared" si="348"/>
        <v>-2,65479301395296+1,64081399092617i</v>
      </c>
      <c r="BD347">
        <f t="shared" si="349"/>
        <v>9.8856771846972293</v>
      </c>
      <c r="BE347" s="43">
        <f t="shared" si="350"/>
        <v>148.28156242349746</v>
      </c>
      <c r="BF347" s="41" t="str">
        <f t="shared" si="351"/>
        <v>-0,0564628723066544+0,510545907580046i</v>
      </c>
      <c r="BG347" s="20">
        <f t="shared" si="352"/>
        <v>-5.7865083573213338</v>
      </c>
      <c r="BH347" s="43">
        <f t="shared" si="353"/>
        <v>96.310874142321921</v>
      </c>
      <c r="BI347" s="41" t="str">
        <f t="shared" si="306"/>
        <v>-0,680582056192723+1,31391671761653i</v>
      </c>
      <c r="BJ347" s="20">
        <f t="shared" si="354"/>
        <v>3.4035865077107847</v>
      </c>
      <c r="BK347" s="43">
        <f t="shared" si="307"/>
        <v>117.38323508116338</v>
      </c>
      <c r="BL347">
        <f t="shared" si="355"/>
        <v>-5.7865083573213338</v>
      </c>
      <c r="BM347" s="43">
        <f t="shared" si="356"/>
        <v>96.310874142321921</v>
      </c>
    </row>
    <row r="348" spans="14:65" x14ac:dyDescent="0.25">
      <c r="N348" s="9">
        <v>30</v>
      </c>
      <c r="O348" s="34">
        <f t="shared" si="308"/>
        <v>19952.623149688792</v>
      </c>
      <c r="P348" s="33" t="str">
        <f t="shared" si="309"/>
        <v>54,631621870174</v>
      </c>
      <c r="Q348" s="4" t="str">
        <f t="shared" si="310"/>
        <v>1+999,323990936872i</v>
      </c>
      <c r="R348" s="4">
        <f t="shared" si="322"/>
        <v>999.32449127498001</v>
      </c>
      <c r="S348" s="4">
        <f t="shared" si="323"/>
        <v>1.5697956506625461</v>
      </c>
      <c r="T348" s="4" t="str">
        <f t="shared" si="311"/>
        <v>1+2,50732057227632i</v>
      </c>
      <c r="U348" s="4">
        <f t="shared" si="324"/>
        <v>2.6993807534618108</v>
      </c>
      <c r="V348" s="4">
        <f t="shared" si="325"/>
        <v>1.1912971409597117</v>
      </c>
      <c r="W348" t="str">
        <f t="shared" si="312"/>
        <v>1-0,498873907252498i</v>
      </c>
      <c r="X348" s="4">
        <f t="shared" si="326"/>
        <v>1.1175308386516114</v>
      </c>
      <c r="Y348" s="4">
        <f t="shared" si="327"/>
        <v>-0.46274632907681851</v>
      </c>
      <c r="Z348" t="str">
        <f t="shared" si="313"/>
        <v>0,998407571317786+0,0685412399430676i</v>
      </c>
      <c r="AA348" s="4">
        <f t="shared" si="328"/>
        <v>1.0007575031133233</v>
      </c>
      <c r="AB348" s="4">
        <f t="shared" si="329"/>
        <v>6.8543017275569593E-2</v>
      </c>
      <c r="AC348" s="47" t="str">
        <f t="shared" si="330"/>
        <v>0,101167113700809-0,130081316806464i</v>
      </c>
      <c r="AD348" s="20">
        <f t="shared" si="331"/>
        <v>-15.661352574817515</v>
      </c>
      <c r="AE348" s="43">
        <f t="shared" si="332"/>
        <v>-52.127004404220081</v>
      </c>
      <c r="AF348" t="str">
        <f t="shared" si="314"/>
        <v>171,265703090588</v>
      </c>
      <c r="AG348" t="str">
        <f t="shared" si="315"/>
        <v>1+989,760442918971i</v>
      </c>
      <c r="AH348">
        <f t="shared" si="333"/>
        <v>989.76094809158724</v>
      </c>
      <c r="AI348">
        <f t="shared" si="334"/>
        <v>1.569785981648363</v>
      </c>
      <c r="AJ348" t="str">
        <f t="shared" si="316"/>
        <v>1+2,50732057227632i</v>
      </c>
      <c r="AK348">
        <f t="shared" si="335"/>
        <v>2.6993807534618108</v>
      </c>
      <c r="AL348">
        <f t="shared" si="336"/>
        <v>1.1912971409597117</v>
      </c>
      <c r="AM348" t="str">
        <f t="shared" si="317"/>
        <v>1-0,157611501032636i</v>
      </c>
      <c r="AN348">
        <f t="shared" si="337"/>
        <v>1.0123444992974282</v>
      </c>
      <c r="AO348">
        <f t="shared" si="338"/>
        <v>-0.15632551864075495</v>
      </c>
      <c r="AP348" s="41" t="str">
        <f t="shared" si="339"/>
        <v>0,406831356951481-0,241007904741751i</v>
      </c>
      <c r="AQ348">
        <f t="shared" si="340"/>
        <v>-6.5053487617813479</v>
      </c>
      <c r="AR348" s="43">
        <f t="shared" si="341"/>
        <v>-30.642605612568079</v>
      </c>
      <c r="AS348" t="str">
        <f t="shared" si="318"/>
        <v>-0,0000166666666666667</v>
      </c>
      <c r="AT348" t="str">
        <f t="shared" si="319"/>
        <v>0,000190807095550228i</v>
      </c>
      <c r="AU348">
        <f t="shared" si="342"/>
        <v>1.90807095550228E-4</v>
      </c>
      <c r="AV348">
        <f t="shared" si="343"/>
        <v>1.5707963267948966</v>
      </c>
      <c r="AW348" t="str">
        <f t="shared" si="320"/>
        <v>1+0,598000898644089i</v>
      </c>
      <c r="AX348">
        <f t="shared" si="344"/>
        <v>1.1651631108042932</v>
      </c>
      <c r="AY348">
        <f t="shared" si="345"/>
        <v>0.5389482763080472</v>
      </c>
      <c r="AZ348" t="str">
        <f t="shared" si="321"/>
        <v>1+41,3707894425593i</v>
      </c>
      <c r="BA348">
        <f t="shared" si="346"/>
        <v>41.382873499801534</v>
      </c>
      <c r="BB348">
        <f t="shared" si="347"/>
        <v>1.5466293885858287</v>
      </c>
      <c r="BC348" s="41" t="str">
        <f t="shared" si="348"/>
        <v>-2,62331952079486+1,65609568496833i</v>
      </c>
      <c r="BD348">
        <f t="shared" si="349"/>
        <v>9.8337629183239965</v>
      </c>
      <c r="BE348" s="43">
        <f t="shared" si="350"/>
        <v>147.73587482856533</v>
      </c>
      <c r="BF348" s="41" t="str">
        <f t="shared" si="351"/>
        <v>-0,0499665567756221+0,508787278129708i</v>
      </c>
      <c r="BG348" s="20">
        <f t="shared" si="352"/>
        <v>-5.8275896564935152</v>
      </c>
      <c r="BH348" s="43">
        <f t="shared" si="353"/>
        <v>95.608870424345241</v>
      </c>
      <c r="BI348" s="41" t="str">
        <f t="shared" si="306"/>
        <v>-0,66811648927621+1,30599239593206i</v>
      </c>
      <c r="BJ348" s="20">
        <f t="shared" si="354"/>
        <v>3.3284141565426406</v>
      </c>
      <c r="BK348" s="43">
        <f t="shared" si="307"/>
        <v>117.0932692159973</v>
      </c>
      <c r="BL348">
        <f t="shared" si="355"/>
        <v>-5.8275896564935152</v>
      </c>
      <c r="BM348" s="43">
        <f t="shared" si="356"/>
        <v>95.608870424345241</v>
      </c>
    </row>
    <row r="349" spans="14:65" x14ac:dyDescent="0.25">
      <c r="N349" s="9">
        <v>31</v>
      </c>
      <c r="O349" s="34">
        <f t="shared" si="308"/>
        <v>20417.379446695286</v>
      </c>
      <c r="P349" s="33" t="str">
        <f t="shared" si="309"/>
        <v>54,631621870174</v>
      </c>
      <c r="Q349" s="4" t="str">
        <f t="shared" si="310"/>
        <v>1+1022,60123694373i</v>
      </c>
      <c r="R349" s="4">
        <f t="shared" si="322"/>
        <v>1022.6017258927577</v>
      </c>
      <c r="S349" s="4">
        <f t="shared" si="323"/>
        <v>1.569818428817551</v>
      </c>
      <c r="T349" s="4" t="str">
        <f t="shared" si="311"/>
        <v>1+2,56572357101172i</v>
      </c>
      <c r="U349" s="4">
        <f t="shared" si="324"/>
        <v>2.7537133915578673</v>
      </c>
      <c r="V349" s="4">
        <f t="shared" si="325"/>
        <v>1.1991541405679895</v>
      </c>
      <c r="W349" t="str">
        <f t="shared" si="312"/>
        <v>1-0,510494173323199i</v>
      </c>
      <c r="X349" s="4">
        <f t="shared" si="326"/>
        <v>1.1227663608235403</v>
      </c>
      <c r="Y349" s="4">
        <f t="shared" si="327"/>
        <v>-0.47200765934688244</v>
      </c>
      <c r="Z349" t="str">
        <f t="shared" si="313"/>
        <v>0,998332522466119+0,0701377705159746i</v>
      </c>
      <c r="AA349" s="4">
        <f t="shared" si="328"/>
        <v>1.0007932515092794</v>
      </c>
      <c r="AB349" s="4">
        <f t="shared" si="329"/>
        <v>7.0139673127339111E-2</v>
      </c>
      <c r="AC349" s="47" t="str">
        <f t="shared" si="330"/>
        <v>0,100928661453261-0,130587621905118i</v>
      </c>
      <c r="AD349" s="20">
        <f t="shared" si="331"/>
        <v>-15.647973338305551</v>
      </c>
      <c r="AE349" s="43">
        <f t="shared" si="332"/>
        <v>-52.300253357969133</v>
      </c>
      <c r="AF349" t="str">
        <f t="shared" si="314"/>
        <v>171,265703090588</v>
      </c>
      <c r="AG349" t="str">
        <f t="shared" si="315"/>
        <v>1+1012,81492527568i</v>
      </c>
      <c r="AH349">
        <f t="shared" si="333"/>
        <v>1012.8154189491694</v>
      </c>
      <c r="AI349">
        <f t="shared" si="334"/>
        <v>1.5698089798965711</v>
      </c>
      <c r="AJ349" t="str">
        <f t="shared" si="316"/>
        <v>1+2,56572357101172i</v>
      </c>
      <c r="AK349">
        <f t="shared" si="335"/>
        <v>2.7537133915578673</v>
      </c>
      <c r="AL349">
        <f t="shared" si="336"/>
        <v>1.1991541405679895</v>
      </c>
      <c r="AM349" t="str">
        <f t="shared" si="317"/>
        <v>1-0,161282744509546i</v>
      </c>
      <c r="AN349">
        <f t="shared" si="337"/>
        <v>1.0129225654888587</v>
      </c>
      <c r="AO349">
        <f t="shared" si="338"/>
        <v>-0.15990573722008367</v>
      </c>
      <c r="AP349" s="41" t="str">
        <f t="shared" si="339"/>
        <v>0,406823507108211-0,238671261584213i</v>
      </c>
      <c r="AQ349">
        <f t="shared" si="340"/>
        <v>-6.5272983938475662</v>
      </c>
      <c r="AR349" s="43">
        <f t="shared" si="341"/>
        <v>-30.398881812266271</v>
      </c>
      <c r="AS349" t="str">
        <f t="shared" si="318"/>
        <v>-0,0000166666666666667</v>
      </c>
      <c r="AT349" t="str">
        <f t="shared" si="319"/>
        <v>0,000195251563753992i</v>
      </c>
      <c r="AU349">
        <f t="shared" si="342"/>
        <v>1.9525156375399199E-4</v>
      </c>
      <c r="AV349">
        <f t="shared" si="343"/>
        <v>1.5707963267948966</v>
      </c>
      <c r="AW349" t="str">
        <f t="shared" si="320"/>
        <v>1+0,611930128960088i</v>
      </c>
      <c r="AX349">
        <f t="shared" si="344"/>
        <v>1.1723730134769863</v>
      </c>
      <c r="AY349">
        <f t="shared" si="345"/>
        <v>0.54914550376412286</v>
      </c>
      <c r="AZ349" t="str">
        <f t="shared" si="321"/>
        <v>1+42,3344389216934i</v>
      </c>
      <c r="BA349">
        <f t="shared" si="346"/>
        <v>42.346247989811197</v>
      </c>
      <c r="BB349">
        <f t="shared" si="347"/>
        <v>1.5471792883493418</v>
      </c>
      <c r="BC349" s="41" t="str">
        <f t="shared" si="348"/>
        <v>-2,59115276230589+1,67096440908752i</v>
      </c>
      <c r="BD349">
        <f t="shared" si="349"/>
        <v>9.7800670472862237</v>
      </c>
      <c r="BE349" s="43">
        <f t="shared" si="350"/>
        <v>147.18312366820192</v>
      </c>
      <c r="BF349" s="41" t="str">
        <f t="shared" si="351"/>
        <v>-0,0433143114496233+0,507020678367646i</v>
      </c>
      <c r="BG349" s="20">
        <f t="shared" si="352"/>
        <v>-5.86790629101933</v>
      </c>
      <c r="BH349" s="43">
        <f t="shared" si="353"/>
        <v>94.882870310232775</v>
      </c>
      <c r="BI349" s="41" t="str">
        <f t="shared" si="306"/>
        <v>-0,655330670635174+1,29822129989495i</v>
      </c>
      <c r="BJ349" s="20">
        <f t="shared" si="354"/>
        <v>3.2527686534386646</v>
      </c>
      <c r="BK349" s="43">
        <f t="shared" si="307"/>
        <v>116.78424185593562</v>
      </c>
      <c r="BL349">
        <f t="shared" si="355"/>
        <v>-5.86790629101933</v>
      </c>
      <c r="BM349" s="43">
        <f t="shared" si="356"/>
        <v>94.882870310232775</v>
      </c>
    </row>
    <row r="350" spans="14:65" x14ac:dyDescent="0.25">
      <c r="N350" s="9">
        <v>32</v>
      </c>
      <c r="O350" s="34">
        <f t="shared" si="308"/>
        <v>20892.961308540423</v>
      </c>
      <c r="P350" s="33" t="str">
        <f t="shared" si="309"/>
        <v>54,631621870174</v>
      </c>
      <c r="Q350" s="4" t="str">
        <f t="shared" si="310"/>
        <v>1+1046,42067966216i</v>
      </c>
      <c r="R350" s="4">
        <f t="shared" si="322"/>
        <v>1046.4211574813539</v>
      </c>
      <c r="S350" s="4">
        <f t="shared" si="323"/>
        <v>1.5698406884794267</v>
      </c>
      <c r="T350" s="4" t="str">
        <f t="shared" si="311"/>
        <v>1+2,62548695034586i</v>
      </c>
      <c r="U350" s="4">
        <f t="shared" si="324"/>
        <v>2.8094806862543842</v>
      </c>
      <c r="V350" s="4">
        <f t="shared" si="325"/>
        <v>1.2068790728087309</v>
      </c>
      <c r="W350" t="str">
        <f t="shared" si="312"/>
        <v>1-0,522385110161789i</v>
      </c>
      <c r="X350" s="4">
        <f t="shared" si="326"/>
        <v>1.1282225858928479</v>
      </c>
      <c r="Y350" s="4">
        <f t="shared" si="327"/>
        <v>-0.48139490685398617</v>
      </c>
      <c r="Z350" t="str">
        <f t="shared" si="313"/>
        <v>0,998253936671039+0,0717714890631929i</v>
      </c>
      <c r="AA350" s="4">
        <f t="shared" si="328"/>
        <v>1.0008306893383989</v>
      </c>
      <c r="AB350" s="4">
        <f t="shared" si="329"/>
        <v>7.1773525689611581E-2</v>
      </c>
      <c r="AC350" s="47" t="str">
        <f t="shared" si="330"/>
        <v>0,10067923263312-0,131162151344059i</v>
      </c>
      <c r="AD350" s="20">
        <f t="shared" si="331"/>
        <v>-15.632043835579681</v>
      </c>
      <c r="AE350" s="43">
        <f t="shared" si="332"/>
        <v>-52.490385247795757</v>
      </c>
      <c r="AF350" t="str">
        <f t="shared" si="314"/>
        <v>171,265703090588</v>
      </c>
      <c r="AG350" t="str">
        <f t="shared" si="315"/>
        <v>1+1036,40641551196i</v>
      </c>
      <c r="AH350">
        <f t="shared" si="333"/>
        <v>1036.4068979480742</v>
      </c>
      <c r="AI350">
        <f t="shared" si="334"/>
        <v>1.5698314546417462</v>
      </c>
      <c r="AJ350" t="str">
        <f t="shared" si="316"/>
        <v>1+2,62548695034586i</v>
      </c>
      <c r="AK350">
        <f t="shared" si="335"/>
        <v>2.8094806862543842</v>
      </c>
      <c r="AL350">
        <f t="shared" si="336"/>
        <v>1.2068790728087309</v>
      </c>
      <c r="AM350" t="str">
        <f t="shared" si="317"/>
        <v>1-0,165039502232427i</v>
      </c>
      <c r="AN350">
        <f t="shared" si="337"/>
        <v>1.0135275217265327</v>
      </c>
      <c r="AO350">
        <f t="shared" si="338"/>
        <v>-0.16356507386420438</v>
      </c>
      <c r="AP350" s="41" t="str">
        <f t="shared" si="339"/>
        <v>0,406816010565418-0,236461164390909i</v>
      </c>
      <c r="AQ350">
        <f t="shared" si="340"/>
        <v>-6.547965919221614</v>
      </c>
      <c r="AR350" s="43">
        <f t="shared" si="341"/>
        <v>-30.167228051416973</v>
      </c>
      <c r="AS350" t="str">
        <f t="shared" si="318"/>
        <v>-0,0000166666666666667</v>
      </c>
      <c r="AT350" t="str">
        <f t="shared" si="319"/>
        <v>0,00019979955692132i</v>
      </c>
      <c r="AU350">
        <f t="shared" si="342"/>
        <v>1.9979955692132E-4</v>
      </c>
      <c r="AV350">
        <f t="shared" si="343"/>
        <v>1.5707963267948966</v>
      </c>
      <c r="AW350" t="str">
        <f t="shared" si="320"/>
        <v>1+0,62618381273032i</v>
      </c>
      <c r="AX350">
        <f t="shared" si="344"/>
        <v>1.1798754880602784</v>
      </c>
      <c r="AY350">
        <f t="shared" si="345"/>
        <v>0.55945014351894884</v>
      </c>
      <c r="AZ350" t="str">
        <f t="shared" si="321"/>
        <v>1+43,3205346807067i</v>
      </c>
      <c r="BA350">
        <f t="shared" si="346"/>
        <v>43.332075014039106</v>
      </c>
      <c r="BB350">
        <f t="shared" si="347"/>
        <v>1.5477166846705157</v>
      </c>
      <c r="BC350" s="41" t="str">
        <f t="shared" si="348"/>
        <v>-2,55830480303131+1,68538599075817i</v>
      </c>
      <c r="BD350">
        <f t="shared" si="349"/>
        <v>9.7245507275864167</v>
      </c>
      <c r="BE350" s="43">
        <f t="shared" si="350"/>
        <v>146.6235018419766</v>
      </c>
      <c r="BF350" s="41" t="str">
        <f t="shared" si="351"/>
        <v>-0,0365093120178375+0,505236129999569i</v>
      </c>
      <c r="BG350" s="20">
        <f t="shared" si="352"/>
        <v>-5.9074931079932629</v>
      </c>
      <c r="BH350" s="43">
        <f t="shared" si="353"/>
        <v>94.133116594180848</v>
      </c>
      <c r="BI350" s="41" t="str">
        <f t="shared" si="306"/>
        <v>-0,642231019956742+1,29058173761472i</v>
      </c>
      <c r="BJ350" s="20">
        <f t="shared" si="354"/>
        <v>3.1765848083647925</v>
      </c>
      <c r="BK350" s="43">
        <f t="shared" si="307"/>
        <v>116.45627379055966</v>
      </c>
      <c r="BL350">
        <f t="shared" si="355"/>
        <v>-5.9074931079932629</v>
      </c>
      <c r="BM350" s="43">
        <f t="shared" si="356"/>
        <v>94.133116594180848</v>
      </c>
    </row>
    <row r="351" spans="14:65" x14ac:dyDescent="0.25">
      <c r="N351" s="9">
        <v>33</v>
      </c>
      <c r="O351" s="34">
        <f t="shared" si="308"/>
        <v>21379.620895022348</v>
      </c>
      <c r="P351" s="33" t="str">
        <f t="shared" si="309"/>
        <v>54,631621870174</v>
      </c>
      <c r="Q351" s="4" t="str">
        <f t="shared" si="310"/>
        <v>1+1070,79494847595i</v>
      </c>
      <c r="R351" s="4">
        <f t="shared" si="322"/>
        <v>1070.7954154186561</v>
      </c>
      <c r="S351" s="4">
        <f t="shared" si="323"/>
        <v>1.569862441450453</v>
      </c>
      <c r="T351" s="4" t="str">
        <f t="shared" si="311"/>
        <v>1+2,68664239761348i</v>
      </c>
      <c r="U351" s="4">
        <f t="shared" si="324"/>
        <v>2.866713688643201</v>
      </c>
      <c r="V351" s="4">
        <f t="shared" si="325"/>
        <v>1.2144723446690082</v>
      </c>
      <c r="W351" t="str">
        <f t="shared" si="312"/>
        <v>1-0,534553022500367i</v>
      </c>
      <c r="X351" s="4">
        <f t="shared" si="326"/>
        <v>1.1339078154172313</v>
      </c>
      <c r="Y351" s="4">
        <f t="shared" si="327"/>
        <v>-0.49090643029092895</v>
      </c>
      <c r="Z351" t="str">
        <f t="shared" si="313"/>
        <v>0,998171647241541+0,0734432618039199i</v>
      </c>
      <c r="AA351" s="4">
        <f t="shared" si="328"/>
        <v>1.0008698966705365</v>
      </c>
      <c r="AB351" s="4">
        <f t="shared" si="329"/>
        <v>7.3445441779134993E-2</v>
      </c>
      <c r="AC351" s="47" t="str">
        <f t="shared" si="330"/>
        <v>0,100418303110878-0,131805137294795i</v>
      </c>
      <c r="AD351" s="20">
        <f t="shared" si="331"/>
        <v>-15.613559351106607</v>
      </c>
      <c r="AE351" s="43">
        <f t="shared" si="332"/>
        <v>-52.69733305624424</v>
      </c>
      <c r="AF351" t="str">
        <f t="shared" si="314"/>
        <v>171,265703090588</v>
      </c>
      <c r="AG351" t="str">
        <f t="shared" si="315"/>
        <v>1+1060,5474221482i</v>
      </c>
      <c r="AH351">
        <f t="shared" si="333"/>
        <v>1060.5478936027323</v>
      </c>
      <c r="AI351">
        <f t="shared" si="334"/>
        <v>1.5698534178002046</v>
      </c>
      <c r="AJ351" t="str">
        <f t="shared" si="316"/>
        <v>1+2,68664239761348i</v>
      </c>
      <c r="AK351">
        <f t="shared" si="335"/>
        <v>2.866713688643201</v>
      </c>
      <c r="AL351">
        <f t="shared" si="336"/>
        <v>1.2144723446690082</v>
      </c>
      <c r="AM351" t="str">
        <f t="shared" si="317"/>
        <v>1-0,168883766083946i</v>
      </c>
      <c r="AN351">
        <f t="shared" si="337"/>
        <v>1.0141606019002598</v>
      </c>
      <c r="AO351">
        <f t="shared" si="338"/>
        <v>-0.16730507659295582</v>
      </c>
      <c r="AP351" s="41" t="str">
        <f t="shared" si="339"/>
        <v>0,406808851422015-0,234376441385632i</v>
      </c>
      <c r="AQ351">
        <f t="shared" si="340"/>
        <v>-6.5673765733385139</v>
      </c>
      <c r="AR351" s="43">
        <f t="shared" si="341"/>
        <v>-29.947710389136958</v>
      </c>
      <c r="AS351" t="str">
        <f t="shared" si="318"/>
        <v>-0,0000166666666666667</v>
      </c>
      <c r="AT351" t="str">
        <f t="shared" si="319"/>
        <v>0,000204453486458386i</v>
      </c>
      <c r="AU351">
        <f t="shared" si="342"/>
        <v>2.04453486458386E-4</v>
      </c>
      <c r="AV351">
        <f t="shared" si="343"/>
        <v>1.5707963267948966</v>
      </c>
      <c r="AW351" t="str">
        <f t="shared" si="320"/>
        <v>1+0,640769507446579i</v>
      </c>
      <c r="AX351">
        <f t="shared" si="344"/>
        <v>1.1876807490539416</v>
      </c>
      <c r="AY351">
        <f t="shared" si="345"/>
        <v>0.56985890521410132</v>
      </c>
      <c r="AZ351" t="str">
        <f t="shared" si="321"/>
        <v>1+44,3295995606224i</v>
      </c>
      <c r="BA351">
        <f t="shared" si="346"/>
        <v>44.340877271487685</v>
      </c>
      <c r="BB351">
        <f t="shared" si="347"/>
        <v>1.5482418612417028</v>
      </c>
      <c r="BC351" s="41" t="str">
        <f t="shared" si="348"/>
        <v>-2,52478969795597+1,69932638497365i</v>
      </c>
      <c r="BD351">
        <f t="shared" si="349"/>
        <v>9.6671758593230237</v>
      </c>
      <c r="BE351" s="43">
        <f t="shared" si="350"/>
        <v>146.05721412791499</v>
      </c>
      <c r="BF351" s="41" t="str">
        <f t="shared" si="351"/>
        <v>-0,0295551497004451+0,503423724790167i</v>
      </c>
      <c r="BG351" s="20">
        <f t="shared" si="352"/>
        <v>-5.9463834917835898</v>
      </c>
      <c r="BH351" s="43">
        <f t="shared" si="353"/>
        <v>93.359881071670756</v>
      </c>
      <c r="BI351" s="41" t="str">
        <f t="shared" si="306"/>
        <v>-0,62882472624477+1,28305223951628i</v>
      </c>
      <c r="BJ351" s="20">
        <f t="shared" si="354"/>
        <v>3.0997992859845076</v>
      </c>
      <c r="BK351" s="43">
        <f t="shared" si="307"/>
        <v>116.10950373877805</v>
      </c>
      <c r="BL351">
        <f t="shared" si="355"/>
        <v>-5.9463834917835898</v>
      </c>
      <c r="BM351" s="43">
        <f t="shared" si="356"/>
        <v>93.359881071670756</v>
      </c>
    </row>
    <row r="352" spans="14:65" x14ac:dyDescent="0.25">
      <c r="N352" s="9">
        <v>34</v>
      </c>
      <c r="O352" s="34">
        <f t="shared" si="308"/>
        <v>21877.61623949555</v>
      </c>
      <c r="P352" s="33" t="str">
        <f t="shared" si="309"/>
        <v>54,631621870174</v>
      </c>
      <c r="Q352" s="4" t="str">
        <f t="shared" si="310"/>
        <v>1+1095,73696694507i</v>
      </c>
      <c r="R352" s="4">
        <f t="shared" si="322"/>
        <v>1095.7374232588668</v>
      </c>
      <c r="S352" s="4">
        <f t="shared" si="323"/>
        <v>1.56988369926426</v>
      </c>
      <c r="T352" s="4" t="str">
        <f t="shared" si="311"/>
        <v>1+2,74922233824224i</v>
      </c>
      <c r="U352" s="4">
        <f t="shared" si="324"/>
        <v>2.9254441483457052</v>
      </c>
      <c r="V352" s="4">
        <f t="shared" si="325"/>
        <v>1.2219344787107935</v>
      </c>
      <c r="W352" t="str">
        <f t="shared" si="312"/>
        <v>1-0,547004361927122i</v>
      </c>
      <c r="X352" s="4">
        <f t="shared" si="326"/>
        <v>1.1398305891523082</v>
      </c>
      <c r="Y352" s="4">
        <f t="shared" si="327"/>
        <v>-0.50054038796365841</v>
      </c>
      <c r="Z352" t="str">
        <f t="shared" si="313"/>
        <v>0,998085479630709+0,075153975134192i</v>
      </c>
      <c r="AA352" s="4">
        <f t="shared" si="328"/>
        <v>1.0009109573923813</v>
      </c>
      <c r="AB352" s="4">
        <f t="shared" si="329"/>
        <v>7.5156308428913757E-2</v>
      </c>
      <c r="AC352" s="47" t="str">
        <f t="shared" si="330"/>
        <v>0,100145324839548-0,132516843054761i</v>
      </c>
      <c r="AD352" s="20">
        <f t="shared" si="331"/>
        <v>-15.592514511907972</v>
      </c>
      <c r="AE352" s="43">
        <f t="shared" si="332"/>
        <v>-52.921012805499068</v>
      </c>
      <c r="AF352" t="str">
        <f t="shared" si="314"/>
        <v>171,265703090588</v>
      </c>
      <c r="AG352" t="str">
        <f t="shared" si="315"/>
        <v>1+1085,25074506567i</v>
      </c>
      <c r="AH352">
        <f t="shared" si="333"/>
        <v>1085.2512057885915</v>
      </c>
      <c r="AI352">
        <f t="shared" si="334"/>
        <v>1.5698748810170191</v>
      </c>
      <c r="AJ352" t="str">
        <f t="shared" si="316"/>
        <v>1+2,74922233824224i</v>
      </c>
      <c r="AK352">
        <f t="shared" si="335"/>
        <v>2.9254441483457052</v>
      </c>
      <c r="AL352">
        <f t="shared" si="336"/>
        <v>1.2219344787107935</v>
      </c>
      <c r="AM352" t="str">
        <f t="shared" si="317"/>
        <v>1-0,172817574343684i</v>
      </c>
      <c r="AN352">
        <f t="shared" si="337"/>
        <v>1.0148230949293748</v>
      </c>
      <c r="AO352">
        <f t="shared" si="338"/>
        <v>-0.17112730968424369</v>
      </c>
      <c r="AP352" s="41" t="str">
        <f t="shared" si="339"/>
        <v>0,406802014492583-0,232415987264117i</v>
      </c>
      <c r="AQ352">
        <f t="shared" si="340"/>
        <v>-6.5855544396599281</v>
      </c>
      <c r="AR352" s="43">
        <f t="shared" si="341"/>
        <v>-29.74038917856597</v>
      </c>
      <c r="AS352" t="str">
        <f t="shared" si="318"/>
        <v>-0,0000166666666666667</v>
      </c>
      <c r="AT352" t="str">
        <f t="shared" si="319"/>
        <v>0,000209215819940234i</v>
      </c>
      <c r="AU352">
        <f t="shared" si="342"/>
        <v>2.0921581994023399E-4</v>
      </c>
      <c r="AV352">
        <f t="shared" si="343"/>
        <v>1.5707963267948966</v>
      </c>
      <c r="AW352" t="str">
        <f t="shared" si="320"/>
        <v>1+0,655694946637275i</v>
      </c>
      <c r="AX352">
        <f t="shared" si="344"/>
        <v>1.1957992570016336</v>
      </c>
      <c r="AY352">
        <f t="shared" si="345"/>
        <v>0.58036828574337662</v>
      </c>
      <c r="AZ352" t="str">
        <f t="shared" si="321"/>
        <v>1+45,362168580997i</v>
      </c>
      <c r="BA352">
        <f t="shared" si="346"/>
        <v>45.373189642902467</v>
      </c>
      <c r="BB352">
        <f t="shared" si="347"/>
        <v>1.5487550953590159</v>
      </c>
      <c r="BC352" s="41" t="str">
        <f t="shared" si="348"/>
        <v>-2,49062352112262+1,71275181131627i</v>
      </c>
      <c r="BD352">
        <f t="shared" si="349"/>
        <v>9.6079051988335031</v>
      </c>
      <c r="BE352" s="43">
        <f t="shared" si="350"/>
        <v>145.48447712711479</v>
      </c>
      <c r="BF352" s="41" t="str">
        <f t="shared" si="351"/>
        <v>-0,0224558386038878+0,501573652770894i</v>
      </c>
      <c r="BG352" s="20">
        <f t="shared" si="352"/>
        <v>-5.9846093130744746</v>
      </c>
      <c r="BH352" s="43">
        <f t="shared" si="353"/>
        <v>92.563464321615712</v>
      </c>
      <c r="BI352" s="41" t="str">
        <f t="shared" si="306"/>
        <v>-0,615119762569817+1,27561161173422i</v>
      </c>
      <c r="BJ352" s="20">
        <f t="shared" si="354"/>
        <v>3.0223507591735532</v>
      </c>
      <c r="BK352" s="43">
        <f t="shared" si="307"/>
        <v>115.74408794854888</v>
      </c>
      <c r="BL352">
        <f t="shared" si="355"/>
        <v>-5.9846093130744746</v>
      </c>
      <c r="BM352" s="43">
        <f t="shared" si="356"/>
        <v>92.563464321615712</v>
      </c>
    </row>
    <row r="353" spans="14:65" x14ac:dyDescent="0.25">
      <c r="N353" s="9">
        <v>35</v>
      </c>
      <c r="O353" s="34">
        <f t="shared" si="308"/>
        <v>22387.211385683382</v>
      </c>
      <c r="P353" s="33" t="str">
        <f t="shared" si="309"/>
        <v>54,631621870174</v>
      </c>
      <c r="Q353" s="4" t="str">
        <f t="shared" si="310"/>
        <v>1+1121,25995965785i</v>
      </c>
      <c r="R353" s="4">
        <f t="shared" si="322"/>
        <v>1121.2604055846809</v>
      </c>
      <c r="S353" s="4">
        <f t="shared" si="323"/>
        <v>1.5699044731919454</v>
      </c>
      <c r="T353" s="4" t="str">
        <f t="shared" si="311"/>
        <v>1+2,81325995294498i</v>
      </c>
      <c r="U353" s="4">
        <f t="shared" si="324"/>
        <v>2.9857045337481058</v>
      </c>
      <c r="V353" s="4">
        <f t="shared" si="325"/>
        <v>1.2292661063340626</v>
      </c>
      <c r="W353" t="str">
        <f t="shared" si="312"/>
        <v>1-0,559745730307027i</v>
      </c>
      <c r="X353" s="4">
        <f t="shared" si="326"/>
        <v>1.14599968699688</v>
      </c>
      <c r="Y353" s="4">
        <f t="shared" si="327"/>
        <v>-0.51029473387247215</v>
      </c>
      <c r="Z353" t="str">
        <f t="shared" si="313"/>
        <v>0,997995251065491+0,0769045360968604i</v>
      </c>
      <c r="AA353" s="4">
        <f t="shared" si="328"/>
        <v>1.0009539593915127</v>
      </c>
      <c r="AB353" s="4">
        <f t="shared" si="329"/>
        <v>7.6907033360598731E-2</v>
      </c>
      <c r="AC353" s="47" t="str">
        <f t="shared" si="330"/>
        <v>0,0998597247382592-0,133297562818871i</v>
      </c>
      <c r="AD353" s="20">
        <f t="shared" si="331"/>
        <v>-15.568903357225167</v>
      </c>
      <c r="AE353" s="43">
        <f t="shared" si="332"/>
        <v>-53.161323746264003</v>
      </c>
      <c r="AF353" t="str">
        <f t="shared" si="314"/>
        <v>171,265703090588</v>
      </c>
      <c r="AG353" t="str">
        <f t="shared" si="315"/>
        <v>1+1110,52948229317i</v>
      </c>
      <c r="AH353">
        <f t="shared" si="333"/>
        <v>1110.5299325287619</v>
      </c>
      <c r="AI353">
        <f t="shared" si="334"/>
        <v>1.5698958556721918</v>
      </c>
      <c r="AJ353" t="str">
        <f t="shared" si="316"/>
        <v>1+2,81325995294498i</v>
      </c>
      <c r="AK353">
        <f t="shared" si="335"/>
        <v>2.9857045337481058</v>
      </c>
      <c r="AL353">
        <f t="shared" si="336"/>
        <v>1.2292661063340626</v>
      </c>
      <c r="AM353" t="str">
        <f t="shared" si="317"/>
        <v>1-0,17684301276885i</v>
      </c>
      <c r="AN353">
        <f t="shared" si="337"/>
        <v>1.0155163470693929</v>
      </c>
      <c r="AO353">
        <f t="shared" si="338"/>
        <v>-0.17503335278639157</v>
      </c>
      <c r="AP353" s="41" t="str">
        <f t="shared" si="339"/>
        <v>0,406795485275149-0,230578762608207i</v>
      </c>
      <c r="AQ353">
        <f t="shared" si="340"/>
        <v>-6.6025224118717212</v>
      </c>
      <c r="AR353" s="43">
        <f t="shared" si="341"/>
        <v>-29.545319402358558</v>
      </c>
      <c r="AS353" t="str">
        <f t="shared" si="318"/>
        <v>-0,0000166666666666667</v>
      </c>
      <c r="AT353" t="str">
        <f t="shared" si="319"/>
        <v>0,000214089082419114i</v>
      </c>
      <c r="AU353">
        <f t="shared" si="342"/>
        <v>2.14089082419114E-4</v>
      </c>
      <c r="AV353">
        <f t="shared" si="343"/>
        <v>1.5707963267948966</v>
      </c>
      <c r="AW353" t="str">
        <f t="shared" si="320"/>
        <v>1+0,670968043967823i</v>
      </c>
      <c r="AX353">
        <f t="shared" si="344"/>
        <v>1.2042417182717124</v>
      </c>
      <c r="AY353">
        <f t="shared" si="345"/>
        <v>0.59097457127113451</v>
      </c>
      <c r="AZ353" t="str">
        <f t="shared" si="321"/>
        <v>1+46,4187892235922i</v>
      </c>
      <c r="BA353">
        <f t="shared" si="346"/>
        <v>46.429559474372354</v>
      </c>
      <c r="BB353">
        <f t="shared" si="347"/>
        <v>1.5492566580638318</v>
      </c>
      <c r="BC353" s="41" t="str">
        <f t="shared" si="348"/>
        <v>-2,45582438346956+1,72562889631817i</v>
      </c>
      <c r="BD353">
        <f t="shared" si="349"/>
        <v>9.5467024721670342</v>
      </c>
      <c r="BE353" s="43">
        <f t="shared" si="350"/>
        <v>144.90551915621106</v>
      </c>
      <c r="BF353" s="41" t="str">
        <f t="shared" si="351"/>
        <v>-0,015215820729745+0,499676231614367i</v>
      </c>
      <c r="BG353" s="20">
        <f t="shared" si="352"/>
        <v>-6.0222008850581403</v>
      </c>
      <c r="BH353" s="43">
        <f t="shared" si="353"/>
        <v>91.744195409947025</v>
      </c>
      <c r="BI353" s="41" t="str">
        <f t="shared" si="306"/>
        <v>-0,601124896190034+1,26823899180604i</v>
      </c>
      <c r="BJ353" s="20">
        <f t="shared" si="354"/>
        <v>2.9441800602952908</v>
      </c>
      <c r="BK353" s="43">
        <f t="shared" si="307"/>
        <v>115.36019975385256</v>
      </c>
      <c r="BL353">
        <f t="shared" si="355"/>
        <v>-6.0222008850581403</v>
      </c>
      <c r="BM353" s="43">
        <f t="shared" si="356"/>
        <v>91.744195409947025</v>
      </c>
    </row>
    <row r="354" spans="14:65" x14ac:dyDescent="0.25">
      <c r="N354" s="9">
        <v>36</v>
      </c>
      <c r="O354" s="34">
        <f t="shared" si="308"/>
        <v>22908.676527677751</v>
      </c>
      <c r="P354" s="33" t="str">
        <f t="shared" si="309"/>
        <v>54,631621870174</v>
      </c>
      <c r="Q354" s="4" t="str">
        <f t="shared" si="310"/>
        <v>1+1147,37745924289i</v>
      </c>
      <c r="R354" s="4">
        <f t="shared" si="322"/>
        <v>1147.3778950191909</v>
      </c>
      <c r="S354" s="4">
        <f t="shared" si="323"/>
        <v>1.5699247742480489</v>
      </c>
      <c r="T354" s="4" t="str">
        <f t="shared" si="311"/>
        <v>1+2,8787891953127i</v>
      </c>
      <c r="U354" s="4">
        <f t="shared" si="324"/>
        <v>3.047528052545069</v>
      </c>
      <c r="V354" s="4">
        <f t="shared" si="325"/>
        <v>1.2364679611394764</v>
      </c>
      <c r="W354" t="str">
        <f t="shared" si="312"/>
        <v>1-0,572783883282257i</v>
      </c>
      <c r="X354" s="4">
        <f t="shared" si="326"/>
        <v>1.1524241306688707</v>
      </c>
      <c r="Y354" s="4">
        <f t="shared" si="327"/>
        <v>-0.52016721437413549</v>
      </c>
      <c r="Z354" t="str">
        <f t="shared" si="313"/>
        <v>0,997900770159001+0,07869587286252i</v>
      </c>
      <c r="AA354" s="4">
        <f t="shared" si="328"/>
        <v>1.0009989947495059</v>
      </c>
      <c r="AB354" s="4">
        <f t="shared" si="329"/>
        <v>7.8698545467955738E-2</v>
      </c>
      <c r="AC354" s="47" t="str">
        <f t="shared" si="330"/>
        <v>0,099560903527174-0,134147621441306i</v>
      </c>
      <c r="AD354" s="20">
        <f t="shared" si="331"/>
        <v>-15.542719416245356</v>
      </c>
      <c r="AE354" s="43">
        <f t="shared" si="332"/>
        <v>-53.418148574850726</v>
      </c>
      <c r="AF354" t="str">
        <f t="shared" si="314"/>
        <v>171,265703090588</v>
      </c>
      <c r="AG354" t="str">
        <f t="shared" si="315"/>
        <v>1+1136,39703695178i</v>
      </c>
      <c r="AH354">
        <f t="shared" si="333"/>
        <v>1136.3974769387626</v>
      </c>
      <c r="AI354">
        <f t="shared" si="334"/>
        <v>1.5699163528866891</v>
      </c>
      <c r="AJ354" t="str">
        <f t="shared" si="316"/>
        <v>1+2,8787891953127i</v>
      </c>
      <c r="AK354">
        <f t="shared" si="335"/>
        <v>3.047528052545069</v>
      </c>
      <c r="AL354">
        <f t="shared" si="336"/>
        <v>1.2364679611394764</v>
      </c>
      <c r="AM354" t="str">
        <f t="shared" si="317"/>
        <v>1-0,180962215700181i</v>
      </c>
      <c r="AN354">
        <f t="shared" si="337"/>
        <v>1.0162417643017427</v>
      </c>
      <c r="AO354">
        <f t="shared" si="338"/>
        <v>-0.17902479993626255</v>
      </c>
      <c r="AP354" s="41" t="str">
        <f t="shared" si="339"/>
        <v>0,406789249920444-0,228863793334932i</v>
      </c>
      <c r="AQ354">
        <f t="shared" si="340"/>
        <v>-6.6183021594689979</v>
      </c>
      <c r="AR354" s="43">
        <f t="shared" si="341"/>
        <v>-29.362550997061941</v>
      </c>
      <c r="AS354" t="str">
        <f t="shared" si="318"/>
        <v>-0,0000166666666666667</v>
      </c>
      <c r="AT354" t="str">
        <f t="shared" si="319"/>
        <v>0,000219075857763296i</v>
      </c>
      <c r="AU354">
        <f t="shared" si="342"/>
        <v>2.1907585776329599E-4</v>
      </c>
      <c r="AV354">
        <f t="shared" si="343"/>
        <v>1.5707963267948966</v>
      </c>
      <c r="AW354" t="str">
        <f t="shared" si="320"/>
        <v>1+0,686596897436603i</v>
      </c>
      <c r="AX354">
        <f t="shared" si="344"/>
        <v>1.213019084585881</v>
      </c>
      <c r="AY354">
        <f t="shared" si="345"/>
        <v>0.60167384018915326</v>
      </c>
      <c r="AZ354" t="str">
        <f t="shared" si="321"/>
        <v>1+47,5000217226596i</v>
      </c>
      <c r="BA354">
        <f t="shared" si="346"/>
        <v>47.510546867544413</v>
      </c>
      <c r="BB354">
        <f t="shared" si="347"/>
        <v>1.5497468142813522</v>
      </c>
      <c r="BC354" s="41" t="str">
        <f t="shared" si="348"/>
        <v>-2,42041243912586+1,73792482019022i</v>
      </c>
      <c r="BD354">
        <f t="shared" si="349"/>
        <v>9.4835324892599573</v>
      </c>
      <c r="BE354" s="43">
        <f t="shared" si="350"/>
        <v>144.3205800858988</v>
      </c>
      <c r="BF354" s="41" t="str">
        <f t="shared" si="351"/>
        <v>-0,00783996847545426+0,497721936976124i</v>
      </c>
      <c r="BG354" s="20">
        <f t="shared" si="352"/>
        <v>-6.059186926985392</v>
      </c>
      <c r="BH354" s="43">
        <f t="shared" si="353"/>
        <v>90.902431511048079</v>
      </c>
      <c r="BI354" s="41" t="str">
        <f t="shared" si="306"/>
        <v>-0,586849693730458+1,2609139062767i</v>
      </c>
      <c r="BJ354" s="20">
        <f t="shared" si="354"/>
        <v>2.8652303297909532</v>
      </c>
      <c r="BK354" s="43">
        <f t="shared" si="307"/>
        <v>114.95802908883691</v>
      </c>
      <c r="BL354">
        <f t="shared" si="355"/>
        <v>-6.059186926985392</v>
      </c>
      <c r="BM354" s="43">
        <f t="shared" si="356"/>
        <v>90.902431511048079</v>
      </c>
    </row>
    <row r="355" spans="14:65" x14ac:dyDescent="0.25">
      <c r="N355" s="9">
        <v>37</v>
      </c>
      <c r="O355" s="34">
        <f t="shared" si="308"/>
        <v>23442.288153199243</v>
      </c>
      <c r="P355" s="33" t="str">
        <f t="shared" si="309"/>
        <v>54,631621870174</v>
      </c>
      <c r="Q355" s="4" t="str">
        <f t="shared" si="310"/>
        <v>1+1174,10331354415i</v>
      </c>
      <c r="R355" s="4">
        <f t="shared" si="322"/>
        <v>1174.1037394009752</v>
      </c>
      <c r="S355" s="4">
        <f t="shared" si="323"/>
        <v>1.5699446131963921</v>
      </c>
      <c r="T355" s="4" t="str">
        <f t="shared" si="311"/>
        <v>1+2,94584480981704i</v>
      </c>
      <c r="U355" s="4">
        <f t="shared" si="324"/>
        <v>3.1109486725958684</v>
      </c>
      <c r="V355" s="4">
        <f t="shared" si="325"/>
        <v>1.2435408724121892</v>
      </c>
      <c r="W355" t="str">
        <f t="shared" si="312"/>
        <v>1-0,586125733854092i</v>
      </c>
      <c r="X355" s="4">
        <f t="shared" si="326"/>
        <v>1.1591131851057506</v>
      </c>
      <c r="Y355" s="4">
        <f t="shared" si="327"/>
        <v>-0.53015536547953657</v>
      </c>
      <c r="Z355" t="str">
        <f t="shared" si="313"/>
        <v>0,997801836504569+0,080528935221634i</v>
      </c>
      <c r="AA355" s="4">
        <f t="shared" si="328"/>
        <v>1.0010461599445954</v>
      </c>
      <c r="AB355" s="4">
        <f t="shared" si="329"/>
        <v>8.0531795311655052E-2</v>
      </c>
      <c r="AC355" s="47" t="str">
        <f t="shared" si="330"/>
        <v>0,0992482345117256-0,135067374185581i</v>
      </c>
      <c r="AD355" s="20">
        <f t="shared" si="331"/>
        <v>-15.513955793408369</v>
      </c>
      <c r="AE355" s="43">
        <f t="shared" si="332"/>
        <v>-53.691353680379301</v>
      </c>
      <c r="AF355" t="str">
        <f t="shared" si="314"/>
        <v>171,265703090588</v>
      </c>
      <c r="AG355" t="str">
        <f t="shared" si="315"/>
        <v>1+1162,86712436137i</v>
      </c>
      <c r="AH355">
        <f t="shared" si="333"/>
        <v>1162.8675543330301</v>
      </c>
      <c r="AI355">
        <f t="shared" si="334"/>
        <v>1.569936383528336</v>
      </c>
      <c r="AJ355" t="str">
        <f t="shared" si="316"/>
        <v>1+2,94584480981704i</v>
      </c>
      <c r="AK355">
        <f t="shared" si="335"/>
        <v>3.1109486725958684</v>
      </c>
      <c r="AL355">
        <f t="shared" si="336"/>
        <v>1.2435408724121892</v>
      </c>
      <c r="AM355" t="str">
        <f t="shared" si="317"/>
        <v>1-0,185177367193593i</v>
      </c>
      <c r="AN355">
        <f t="shared" si="337"/>
        <v>1.0170008148083023</v>
      </c>
      <c r="AO355">
        <f t="shared" si="338"/>
        <v>-0.18310325847753936</v>
      </c>
      <c r="AP355" s="41" t="str">
        <f t="shared" si="339"/>
        <v>0,406783295202506-0,227270170180217i</v>
      </c>
      <c r="AQ355">
        <f t="shared" si="340"/>
        <v>-6.6329140965462896</v>
      </c>
      <c r="AR355" s="43">
        <f t="shared" si="341"/>
        <v>-29.19212916482654</v>
      </c>
      <c r="AS355" t="str">
        <f t="shared" si="318"/>
        <v>-0,0000166666666666667</v>
      </c>
      <c r="AT355" t="str">
        <f t="shared" si="319"/>
        <v>0,000224178790027076i</v>
      </c>
      <c r="AU355">
        <f t="shared" si="342"/>
        <v>2.2417879002707599E-4</v>
      </c>
      <c r="AV355">
        <f t="shared" si="343"/>
        <v>1.5707963267948966</v>
      </c>
      <c r="AW355" t="str">
        <f t="shared" si="320"/>
        <v>1+0,702589793668584i</v>
      </c>
      <c r="AX355">
        <f t="shared" si="344"/>
        <v>1.2221425523101892</v>
      </c>
      <c r="AY355">
        <f t="shared" si="345"/>
        <v>0.61246196703678768</v>
      </c>
      <c r="AZ355" t="str">
        <f t="shared" si="321"/>
        <v>1+48,6064393619812i</v>
      </c>
      <c r="BA355">
        <f t="shared" si="346"/>
        <v>48.616724976595819</v>
      </c>
      <c r="BB355">
        <f t="shared" si="347"/>
        <v>1.5502258229562582</v>
      </c>
      <c r="BC355" s="41" t="str">
        <f t="shared" si="348"/>
        <v>-2,3844098794858+1,7496074668864i</v>
      </c>
      <c r="BD355">
        <f t="shared" si="349"/>
        <v>9.4183612581431664</v>
      </c>
      <c r="BE355" s="43">
        <f t="shared" si="350"/>
        <v>143.72991112409989</v>
      </c>
      <c r="BF355" s="41" t="str">
        <f t="shared" si="351"/>
        <v>-0,000333584483450139+0,495701433581312i</v>
      </c>
      <c r="BG355" s="20">
        <f t="shared" si="352"/>
        <v>-6.0955945352652048</v>
      </c>
      <c r="BH355" s="43">
        <f t="shared" si="353"/>
        <v>90.038557443720592</v>
      </c>
      <c r="BI355" s="41" t="str">
        <f t="shared" si="306"/>
        <v>-0,572304521142794+1,25361632978109i</v>
      </c>
      <c r="BJ355" s="20">
        <f t="shared" si="354"/>
        <v>2.785447161596895</v>
      </c>
      <c r="BK355" s="43">
        <f t="shared" si="307"/>
        <v>114.53778195927332</v>
      </c>
      <c r="BL355">
        <f t="shared" si="355"/>
        <v>-6.0955945352652048</v>
      </c>
      <c r="BM355" s="43">
        <f t="shared" si="356"/>
        <v>90.038557443720592</v>
      </c>
    </row>
    <row r="356" spans="14:65" x14ac:dyDescent="0.25">
      <c r="N356" s="9">
        <v>38</v>
      </c>
      <c r="O356" s="34">
        <f t="shared" si="308"/>
        <v>23988.329190194923</v>
      </c>
      <c r="P356" s="33" t="str">
        <f t="shared" si="309"/>
        <v>54,631621870174</v>
      </c>
      <c r="Q356" s="4" t="str">
        <f t="shared" si="310"/>
        <v>1+1201,45169296334i</v>
      </c>
      <c r="R356" s="4">
        <f t="shared" si="322"/>
        <v>1201.4521091264835</v>
      </c>
      <c r="S356" s="4">
        <f t="shared" si="323"/>
        <v>1.5699640005557856</v>
      </c>
      <c r="T356" s="4" t="str">
        <f t="shared" si="311"/>
        <v>1+3,0144623502324i</v>
      </c>
      <c r="U356" s="4">
        <f t="shared" si="324"/>
        <v>3.1760011430993917</v>
      </c>
      <c r="V356" s="4">
        <f t="shared" si="325"/>
        <v>1.2504857587458091</v>
      </c>
      <c r="W356" t="str">
        <f t="shared" si="312"/>
        <v>1-0,599778356048305i</v>
      </c>
      <c r="X356" s="4">
        <f t="shared" si="326"/>
        <v>1.1660763595854293</v>
      </c>
      <c r="Y356" s="4">
        <f t="shared" si="327"/>
        <v>-0.54025651084035975</v>
      </c>
      <c r="Z356" t="str">
        <f t="shared" si="313"/>
        <v>0,997698240250651+0,0824046950881286i</v>
      </c>
      <c r="AA356" s="4">
        <f t="shared" si="328"/>
        <v>1.0010955560643615</v>
      </c>
      <c r="AB356" s="4">
        <f t="shared" si="329"/>
        <v>8.2407755625660065E-2</v>
      </c>
      <c r="AC356" s="47" t="str">
        <f t="shared" si="330"/>
        <v>0,0989210623140495-0,136057206460781i</v>
      </c>
      <c r="AD356" s="20">
        <f t="shared" si="331"/>
        <v>-15.482605260761403</v>
      </c>
      <c r="AE356" s="43">
        <f t="shared" si="332"/>
        <v>-53.980789424083689</v>
      </c>
      <c r="AF356" t="str">
        <f t="shared" si="314"/>
        <v>171,265703090588</v>
      </c>
      <c r="AG356" t="str">
        <f t="shared" si="315"/>
        <v>1+1189,95377931266i</v>
      </c>
      <c r="AH356">
        <f t="shared" si="333"/>
        <v>1189.9541994969732</v>
      </c>
      <c r="AI356">
        <f t="shared" si="334"/>
        <v>1.5699559582175799</v>
      </c>
      <c r="AJ356" t="str">
        <f t="shared" si="316"/>
        <v>1+3,0144623502324i</v>
      </c>
      <c r="AK356">
        <f t="shared" si="335"/>
        <v>3.1760011430993917</v>
      </c>
      <c r="AL356">
        <f t="shared" si="336"/>
        <v>1.2504857587458091</v>
      </c>
      <c r="AM356" t="str">
        <f t="shared" si="317"/>
        <v>1-0,189490702178204i</v>
      </c>
      <c r="AN356">
        <f t="shared" si="337"/>
        <v>1.0177950315323752</v>
      </c>
      <c r="AO356">
        <f t="shared" si="338"/>
        <v>-0.18727034787341296</v>
      </c>
      <c r="AP356" s="41" t="str">
        <f t="shared" si="339"/>
        <v>0,406777608490634-0,225797048216946i</v>
      </c>
      <c r="AQ356">
        <f t="shared" si="340"/>
        <v>-6.6463773536082815</v>
      </c>
      <c r="AR356" s="43">
        <f t="shared" si="341"/>
        <v>-29.034094671028363</v>
      </c>
      <c r="AS356" t="str">
        <f t="shared" si="318"/>
        <v>-0,0000166666666666667</v>
      </c>
      <c r="AT356" t="str">
        <f t="shared" si="319"/>
        <v>0,000229400584852686i</v>
      </c>
      <c r="AU356">
        <f t="shared" si="342"/>
        <v>2.2940058485268599E-4</v>
      </c>
      <c r="AV356">
        <f t="shared" si="343"/>
        <v>1.5707963267948966</v>
      </c>
      <c r="AW356" t="str">
        <f t="shared" si="320"/>
        <v>1+0,718955212309041i</v>
      </c>
      <c r="AX356">
        <f t="shared" si="344"/>
        <v>1.2316235615261419</v>
      </c>
      <c r="AY356">
        <f t="shared" si="345"/>
        <v>0.62333462740241896</v>
      </c>
      <c r="AZ356" t="str">
        <f t="shared" si="321"/>
        <v>1+49,7386287788346i</v>
      </c>
      <c r="BA356">
        <f t="shared" si="346"/>
        <v>49.748680312132038</v>
      </c>
      <c r="BB356">
        <f t="shared" si="347"/>
        <v>1.5506939371855204</v>
      </c>
      <c r="BC356" s="41" t="str">
        <f t="shared" si="348"/>
        <v>-2,34784091448459+1,76064557637259i</v>
      </c>
      <c r="BD356">
        <f t="shared" si="349"/>
        <v>9.3511560984796436</v>
      </c>
      <c r="BE356" s="43">
        <f t="shared" si="350"/>
        <v>143.13377454273675</v>
      </c>
      <c r="BF356" s="41" t="str">
        <f t="shared" si="351"/>
        <v>0,00729760128358115+0,493605606812407i</v>
      </c>
      <c r="BG356" s="20">
        <f t="shared" si="352"/>
        <v>-6.1314491622817657</v>
      </c>
      <c r="BH356" s="43">
        <f t="shared" si="353"/>
        <v>89.152985118653064</v>
      </c>
      <c r="BI356" s="41" t="str">
        <f t="shared" si="306"/>
        <v>-0,55750053820935+1,24632674513005i</v>
      </c>
      <c r="BJ356" s="20">
        <f t="shared" si="354"/>
        <v>2.7047787448713527</v>
      </c>
      <c r="BK356" s="43">
        <f t="shared" si="307"/>
        <v>114.09967987170839</v>
      </c>
      <c r="BL356">
        <f t="shared" si="355"/>
        <v>-6.1314491622817657</v>
      </c>
      <c r="BM356" s="43">
        <f t="shared" si="356"/>
        <v>89.152985118653064</v>
      </c>
    </row>
    <row r="357" spans="14:65" x14ac:dyDescent="0.25">
      <c r="N357" s="9">
        <v>39</v>
      </c>
      <c r="O357" s="34">
        <f t="shared" si="308"/>
        <v>24547.089156850321</v>
      </c>
      <c r="P357" s="33" t="str">
        <f t="shared" si="309"/>
        <v>54,631621870174</v>
      </c>
      <c r="Q357" s="4" t="str">
        <f t="shared" si="310"/>
        <v>1+1229,43709797323i</v>
      </c>
      <c r="R357" s="4">
        <f t="shared" si="322"/>
        <v>1229.4375046633472</v>
      </c>
      <c r="S357" s="4">
        <f t="shared" si="323"/>
        <v>1.5699829466056057</v>
      </c>
      <c r="T357" s="4" t="str">
        <f t="shared" si="311"/>
        <v>1+3,08467819848698i</v>
      </c>
      <c r="U357" s="4">
        <f t="shared" si="324"/>
        <v>3.2427210160944897</v>
      </c>
      <c r="V357" s="4">
        <f t="shared" si="325"/>
        <v>1.2573036218228733</v>
      </c>
      <c r="W357" t="str">
        <f t="shared" si="312"/>
        <v>1-0,6137489886659i</v>
      </c>
      <c r="X357" s="4">
        <f t="shared" si="326"/>
        <v>1.1733234085657778</v>
      </c>
      <c r="Y357" s="4">
        <f t="shared" si="327"/>
        <v>-0.55046776047613954</v>
      </c>
      <c r="Z357" t="str">
        <f t="shared" si="313"/>
        <v>0,997589761655703+0,0843241470147141i</v>
      </c>
      <c r="AA357" s="4">
        <f t="shared" si="328"/>
        <v>1.0011472890289628</v>
      </c>
      <c r="AB357" s="4">
        <f t="shared" si="329"/>
        <v>8.432742183547362E-2</v>
      </c>
      <c r="AC357" s="47" t="str">
        <f t="shared" si="330"/>
        <v>0,0985787015494418-0,137117533541728i</v>
      </c>
      <c r="AD357" s="20">
        <f t="shared" si="331"/>
        <v>-15.448660356772741</v>
      </c>
      <c r="AE357" s="43">
        <f t="shared" si="332"/>
        <v>-54.286290452744083</v>
      </c>
      <c r="AF357" t="str">
        <f t="shared" si="314"/>
        <v>171,265703090588</v>
      </c>
      <c r="AG357" t="str">
        <f t="shared" si="315"/>
        <v>1+1217,67136350864i</v>
      </c>
      <c r="AH357">
        <f t="shared" si="333"/>
        <v>1217.671774128394</v>
      </c>
      <c r="AI357">
        <f t="shared" si="334"/>
        <v>1.56997508733312</v>
      </c>
      <c r="AJ357" t="str">
        <f t="shared" si="316"/>
        <v>1+3,08467819848698i</v>
      </c>
      <c r="AK357">
        <f t="shared" si="335"/>
        <v>3.2427210160944897</v>
      </c>
      <c r="AL357">
        <f t="shared" si="336"/>
        <v>1.2573036218228733</v>
      </c>
      <c r="AM357" t="str">
        <f t="shared" si="317"/>
        <v>1-0,193904507641315i</v>
      </c>
      <c r="AN357">
        <f t="shared" si="337"/>
        <v>1.0186260148276307</v>
      </c>
      <c r="AO357">
        <f t="shared" si="338"/>
        <v>-0.19152769840771353</v>
      </c>
      <c r="AP357" s="41" t="str">
        <f t="shared" si="339"/>
        <v>0,406772177722606-0,224443646407127i</v>
      </c>
      <c r="AQ357">
        <f t="shared" si="340"/>
        <v>-6.6587097522205285</v>
      </c>
      <c r="AR357" s="43">
        <f t="shared" si="341"/>
        <v>-28.888484126523871</v>
      </c>
      <c r="AS357" t="str">
        <f t="shared" si="318"/>
        <v>-0,0000166666666666667</v>
      </c>
      <c r="AT357" t="str">
        <f t="shared" si="319"/>
        <v>0,00023474401090486i</v>
      </c>
      <c r="AU357">
        <f t="shared" si="342"/>
        <v>2.3474401090486E-4</v>
      </c>
      <c r="AV357">
        <f t="shared" si="343"/>
        <v>1.5707963267948966</v>
      </c>
      <c r="AW357" t="str">
        <f t="shared" si="320"/>
        <v>1+0,735701830519562i</v>
      </c>
      <c r="AX357">
        <f t="shared" si="344"/>
        <v>1.2414737949025885</v>
      </c>
      <c r="AY357">
        <f t="shared" si="345"/>
        <v>0.63428730381637277</v>
      </c>
      <c r="AZ357" t="str">
        <f t="shared" si="321"/>
        <v>1+50,8971902750352i</v>
      </c>
      <c r="BA357">
        <f t="shared" si="346"/>
        <v>50.907013052163428</v>
      </c>
      <c r="BB357">
        <f t="shared" si="347"/>
        <v>1.5511514043484023</v>
      </c>
      <c r="BC357" s="41" t="str">
        <f t="shared" si="348"/>
        <v>-2,31073174061245+1,77100889787634i</v>
      </c>
      <c r="BD357">
        <f t="shared" si="349"/>
        <v>9.2818857536977131</v>
      </c>
      <c r="BE357" s="43">
        <f t="shared" si="350"/>
        <v>142.5324433475437</v>
      </c>
      <c r="BF357" s="41" t="str">
        <f t="shared" si="351"/>
        <v>0,0150474373386009+0,491425594534521i</v>
      </c>
      <c r="BG357" s="20">
        <f t="shared" si="352"/>
        <v>-6.1667746030750239</v>
      </c>
      <c r="BH357" s="43">
        <f t="shared" si="353"/>
        <v>88.246152894799607</v>
      </c>
      <c r="BI357" s="41" t="str">
        <f t="shared" si="306"/>
        <v>-0,542449687402841+1,23902620388702i</v>
      </c>
      <c r="BJ357" s="20">
        <f t="shared" si="354"/>
        <v>2.6231760014772005</v>
      </c>
      <c r="BK357" s="43">
        <f t="shared" si="307"/>
        <v>113.64395922101974</v>
      </c>
      <c r="BL357">
        <f t="shared" si="355"/>
        <v>-6.1667746030750239</v>
      </c>
      <c r="BM357" s="43">
        <f t="shared" si="356"/>
        <v>88.246152894799607</v>
      </c>
    </row>
    <row r="358" spans="14:65" x14ac:dyDescent="0.25">
      <c r="N358" s="9">
        <v>40</v>
      </c>
      <c r="O358" s="34">
        <f t="shared" si="308"/>
        <v>25118.86431509586</v>
      </c>
      <c r="P358" s="33" t="str">
        <f t="shared" si="309"/>
        <v>54,631621870174</v>
      </c>
      <c r="Q358" s="4" t="str">
        <f t="shared" si="310"/>
        <v>1+1258,074366806i</v>
      </c>
      <c r="R358" s="4">
        <f t="shared" si="322"/>
        <v>1258.0747642387228</v>
      </c>
      <c r="S358" s="4">
        <f t="shared" si="323"/>
        <v>1.5700014613912439</v>
      </c>
      <c r="T358" s="4" t="str">
        <f t="shared" si="311"/>
        <v>1+3,15652958395296i</v>
      </c>
      <c r="U358" s="4">
        <f t="shared" si="324"/>
        <v>3.311144668293768</v>
      </c>
      <c r="V358" s="4">
        <f t="shared" si="325"/>
        <v>1.2639955403658796</v>
      </c>
      <c r="W358" t="str">
        <f t="shared" si="312"/>
        <v>1-0,628045039121218i</v>
      </c>
      <c r="X358" s="4">
        <f t="shared" si="326"/>
        <v>1.1808643322434513</v>
      </c>
      <c r="Y358" s="4">
        <f t="shared" si="327"/>
        <v>-0.56078601029044439</v>
      </c>
      <c r="Z358" t="str">
        <f t="shared" si="313"/>
        <v>0,997476170622079+0,0862883087202094i</v>
      </c>
      <c r="AA358" s="4">
        <f t="shared" si="328"/>
        <v>1.0012014698254699</v>
      </c>
      <c r="AB358" s="4">
        <f t="shared" si="329"/>
        <v>8.6291812588518882E-2</v>
      </c>
      <c r="AC358" s="47" t="str">
        <f t="shared" si="330"/>
        <v>0,0982204354456012-0,138248800270641i</v>
      </c>
      <c r="AD358" s="20">
        <f t="shared" si="331"/>
        <v>-15.412113490965726</v>
      </c>
      <c r="AE358" s="43">
        <f t="shared" si="332"/>
        <v>-54.60767604824526</v>
      </c>
      <c r="AF358" t="str">
        <f t="shared" si="314"/>
        <v>171,265703090588</v>
      </c>
      <c r="AG358" t="str">
        <f t="shared" si="315"/>
        <v>1+1246,03457317935i</v>
      </c>
      <c r="AH358">
        <f t="shared" si="333"/>
        <v>1246.0349744522603</v>
      </c>
      <c r="AI358">
        <f t="shared" si="334"/>
        <v>1.5699937810174105</v>
      </c>
      <c r="AJ358" t="str">
        <f t="shared" si="316"/>
        <v>1+3,15652958395296i</v>
      </c>
      <c r="AK358">
        <f t="shared" si="335"/>
        <v>3.311144668293768</v>
      </c>
      <c r="AL358">
        <f t="shared" si="336"/>
        <v>1.2639955403658796</v>
      </c>
      <c r="AM358" t="str">
        <f t="shared" si="317"/>
        <v>1-0,198421123841008i</v>
      </c>
      <c r="AN358">
        <f t="shared" si="337"/>
        <v>1.0194954351964156</v>
      </c>
      <c r="AO358">
        <f t="shared" si="338"/>
        <v>-0.19587694976841932</v>
      </c>
      <c r="AP358" s="41" t="str">
        <f t="shared" si="339"/>
        <v>0,406766991379078-0,223209247187926i</v>
      </c>
      <c r="AQ358">
        <f t="shared" si="340"/>
        <v>-6.669927782323736</v>
      </c>
      <c r="AR358" s="43">
        <f t="shared" si="341"/>
        <v>-28.755330253387648</v>
      </c>
      <c r="AS358" t="str">
        <f t="shared" si="318"/>
        <v>-0,0000166666666666667</v>
      </c>
      <c r="AT358" t="str">
        <f t="shared" si="319"/>
        <v>0,00024021190133882i</v>
      </c>
      <c r="AU358">
        <f t="shared" si="342"/>
        <v>2.4021190133882001E-4</v>
      </c>
      <c r="AV358">
        <f t="shared" si="343"/>
        <v>1.5707963267948966</v>
      </c>
      <c r="AW358" t="str">
        <f t="shared" si="320"/>
        <v>1+0,752838527578794i</v>
      </c>
      <c r="AX358">
        <f t="shared" si="344"/>
        <v>1.2517051763921914</v>
      </c>
      <c r="AY358">
        <f t="shared" si="345"/>
        <v>0.64531529263745957</v>
      </c>
      <c r="AZ358" t="str">
        <f t="shared" si="321"/>
        <v>1+52,0827381352238i</v>
      </c>
      <c r="BA358">
        <f t="shared" si="346"/>
        <v>52.092337360328685</v>
      </c>
      <c r="BB358">
        <f t="shared" si="347"/>
        <v>1.5515984662337137</v>
      </c>
      <c r="BC358" s="41" t="str">
        <f t="shared" si="348"/>
        <v>-2,27311049533324+1,780668342818i</v>
      </c>
      <c r="BD358">
        <f t="shared" si="349"/>
        <v>9.2105205009650035</v>
      </c>
      <c r="BE358" s="43">
        <f t="shared" si="350"/>
        <v>141.92620089078758</v>
      </c>
      <c r="BF358" s="41" t="str">
        <f t="shared" si="351"/>
        <v>0,0229093594069018+0,489152818878204i</v>
      </c>
      <c r="BG358" s="20">
        <f t="shared" si="352"/>
        <v>-6.2015929900007238</v>
      </c>
      <c r="BH358" s="43">
        <f t="shared" si="353"/>
        <v>87.318524842542317</v>
      </c>
      <c r="BI358" s="41" t="str">
        <f t="shared" si="306"/>
        <v>-0,52716467696713+1,23169638689035i</v>
      </c>
      <c r="BJ358" s="20">
        <f t="shared" si="354"/>
        <v>2.5405927186412502</v>
      </c>
      <c r="BK358" s="43">
        <f t="shared" si="307"/>
        <v>113.17087063739996</v>
      </c>
      <c r="BL358">
        <f t="shared" si="355"/>
        <v>-6.2015929900007238</v>
      </c>
      <c r="BM358" s="43">
        <f t="shared" si="356"/>
        <v>87.318524842542317</v>
      </c>
    </row>
    <row r="359" spans="14:65" x14ac:dyDescent="0.25">
      <c r="N359" s="9">
        <v>41</v>
      </c>
      <c r="O359" s="34">
        <f t="shared" si="308"/>
        <v>25703.95782768865</v>
      </c>
      <c r="P359" s="33" t="str">
        <f t="shared" si="309"/>
        <v>54,631621870174</v>
      </c>
      <c r="Q359" s="4" t="str">
        <f t="shared" si="310"/>
        <v>1+1287,37868332062i</v>
      </c>
      <c r="R359" s="4">
        <f t="shared" si="322"/>
        <v>1287.3790717066724</v>
      </c>
      <c r="S359" s="4">
        <f t="shared" si="323"/>
        <v>1.5700195547294344</v>
      </c>
      <c r="T359" s="4" t="str">
        <f t="shared" si="311"/>
        <v>1+3,23005460318594i</v>
      </c>
      <c r="U359" s="4">
        <f t="shared" si="324"/>
        <v>3.3813093232596572</v>
      </c>
      <c r="V359" s="4">
        <f t="shared" si="325"/>
        <v>1.2705626642706074</v>
      </c>
      <c r="W359" t="str">
        <f t="shared" si="312"/>
        <v>1-0,642674087369433i</v>
      </c>
      <c r="X359" s="4">
        <f t="shared" si="326"/>
        <v>1.1887093768352859</v>
      </c>
      <c r="Y359" s="4">
        <f t="shared" si="327"/>
        <v>-0.57120794242146167</v>
      </c>
      <c r="Z359" t="str">
        <f t="shared" si="313"/>
        <v>0,99735722620797+0,0882982216291483i</v>
      </c>
      <c r="AA359" s="4">
        <f t="shared" si="328"/>
        <v>1.0012582147538793</v>
      </c>
      <c r="AB359" s="4">
        <f t="shared" si="329"/>
        <v>8.8301970296932972E-2</v>
      </c>
      <c r="AC359" s="47" t="str">
        <f t="shared" si="330"/>
        <v>0,0978455144023515-0,139451480737766i</v>
      </c>
      <c r="AD359" s="20">
        <f t="shared" si="331"/>
        <v>-15.372957053680857</v>
      </c>
      <c r="AE359" s="43">
        <f t="shared" si="332"/>
        <v>-54.944750515207531</v>
      </c>
      <c r="AF359" t="str">
        <f t="shared" si="314"/>
        <v>171,265703090588</v>
      </c>
      <c r="AG359" t="str">
        <f t="shared" si="315"/>
        <v>1+1275,05844687396i</v>
      </c>
      <c r="AH359">
        <f t="shared" si="333"/>
        <v>1275.0588390127868</v>
      </c>
      <c r="AI359">
        <f t="shared" si="334"/>
        <v>1.570012049182038</v>
      </c>
      <c r="AJ359" t="str">
        <f t="shared" si="316"/>
        <v>1+3,23005460318594i</v>
      </c>
      <c r="AK359">
        <f t="shared" si="335"/>
        <v>3.3813093232596572</v>
      </c>
      <c r="AL359">
        <f t="shared" si="336"/>
        <v>1.2705626642706074</v>
      </c>
      <c r="AM359" t="str">
        <f t="shared" si="317"/>
        <v>1-0,203042945546975i</v>
      </c>
      <c r="AN359">
        <f t="shared" si="337"/>
        <v>1.0204050361186934</v>
      </c>
      <c r="AO359">
        <f t="shared" si="338"/>
        <v>-0.20031974950728279</v>
      </c>
      <c r="AP359" s="41" t="str">
        <f t="shared" si="339"/>
        <v>0,40676203845917-0,222093196091345i</v>
      </c>
      <c r="AQ359">
        <f t="shared" si="340"/>
        <v>-6.6800465820402035</v>
      </c>
      <c r="AR359" s="43">
        <f t="shared" si="341"/>
        <v>-28.634662133098619</v>
      </c>
      <c r="AS359" t="str">
        <f t="shared" si="318"/>
        <v>-0,0000166666666666667</v>
      </c>
      <c r="AT359" t="str">
        <f t="shared" si="319"/>
        <v>0,00024580715530245i</v>
      </c>
      <c r="AU359">
        <f t="shared" si="342"/>
        <v>2.4580715530245E-4</v>
      </c>
      <c r="AV359">
        <f t="shared" si="343"/>
        <v>1.5707963267948966</v>
      </c>
      <c r="AW359" t="str">
        <f t="shared" si="320"/>
        <v>1+0,770374389590339i</v>
      </c>
      <c r="AX359">
        <f t="shared" si="344"/>
        <v>1.2623298697791665</v>
      </c>
      <c r="AY359">
        <f t="shared" si="345"/>
        <v>0.65641371192660702</v>
      </c>
      <c r="AZ359" t="str">
        <f t="shared" si="321"/>
        <v>1+53,295900952568i</v>
      </c>
      <c r="BA359">
        <f t="shared" si="346"/>
        <v>53.305281711533418</v>
      </c>
      <c r="BB359">
        <f t="shared" si="347"/>
        <v>1.5520353591643599</v>
      </c>
      <c r="BC359" s="41" t="str">
        <f t="shared" si="348"/>
        <v>-2,23500719771602+1,78959613606005i</v>
      </c>
      <c r="BD359">
        <f t="shared" si="349"/>
        <v>9.137032258232459</v>
      </c>
      <c r="BE359" s="43">
        <f t="shared" si="350"/>
        <v>141.31534042727787</v>
      </c>
      <c r="BF359" s="41" t="str">
        <f t="shared" si="351"/>
        <v>0,0308764021426765+0,48677901768632i</v>
      </c>
      <c r="BG359" s="20">
        <f t="shared" si="352"/>
        <v>-6.2359247954484012</v>
      </c>
      <c r="BH359" s="43">
        <f t="shared" si="353"/>
        <v>86.370589912070329</v>
      </c>
      <c r="BI359" s="41" t="str">
        <f t="shared" si="306"/>
        <v>-0,511658958143587+1,22431966415035i</v>
      </c>
      <c r="BJ359" s="20">
        <f t="shared" si="354"/>
        <v>2.4569856761922453</v>
      </c>
      <c r="BK359" s="43">
        <f t="shared" si="307"/>
        <v>112.68067829417926</v>
      </c>
      <c r="BL359">
        <f t="shared" si="355"/>
        <v>-6.2359247954484012</v>
      </c>
      <c r="BM359" s="43">
        <f t="shared" si="356"/>
        <v>86.370589912070329</v>
      </c>
    </row>
    <row r="360" spans="14:65" x14ac:dyDescent="0.25">
      <c r="N360" s="9">
        <v>42</v>
      </c>
      <c r="O360" s="34">
        <f t="shared" si="308"/>
        <v>26302.679918953829</v>
      </c>
      <c r="P360" s="33" t="str">
        <f t="shared" si="309"/>
        <v>54,631621870174</v>
      </c>
      <c r="Q360" s="4" t="str">
        <f t="shared" si="310"/>
        <v>1+1317,36558505361i</v>
      </c>
      <c r="R360" s="4">
        <f t="shared" si="322"/>
        <v>1317.3659645989189</v>
      </c>
      <c r="S360" s="4">
        <f t="shared" si="323"/>
        <v>1.5700372362134567</v>
      </c>
      <c r="T360" s="4" t="str">
        <f t="shared" si="311"/>
        <v>1+3,30529224012436i</v>
      </c>
      <c r="U360" s="4">
        <f t="shared" si="324"/>
        <v>3.4532530739327965</v>
      </c>
      <c r="V360" s="4">
        <f t="shared" si="325"/>
        <v>1.2770062089313754</v>
      </c>
      <c r="W360" t="str">
        <f t="shared" si="312"/>
        <v>1-0,657643889925569i</v>
      </c>
      <c r="X360" s="4">
        <f t="shared" si="326"/>
        <v>1.1968690345883437</v>
      </c>
      <c r="Y360" s="4">
        <f t="shared" si="327"/>
        <v>-0.5817300264681009</v>
      </c>
      <c r="Z360" t="str">
        <f t="shared" si="313"/>
        <v>0,997232676116324+0,0903549514239603i</v>
      </c>
      <c r="AA360" s="4">
        <f t="shared" si="328"/>
        <v>1.0013176456853996</v>
      </c>
      <c r="AB360" s="4">
        <f t="shared" si="329"/>
        <v>9.0358961693066966E-2</v>
      </c>
      <c r="AC360" s="47" t="str">
        <f t="shared" si="330"/>
        <v>0,0974531544894663-0,140726077938164i</v>
      </c>
      <c r="AD360" s="20">
        <f t="shared" si="331"/>
        <v>-15.33118353023211</v>
      </c>
      <c r="AE360" s="43">
        <f t="shared" si="332"/>
        <v>-55.297303608499007</v>
      </c>
      <c r="AF360" t="str">
        <f t="shared" si="314"/>
        <v>171,265703090588</v>
      </c>
      <c r="AG360" t="str">
        <f t="shared" si="315"/>
        <v>1+1304,75837343451i</v>
      </c>
      <c r="AH360">
        <f t="shared" si="333"/>
        <v>1304.7587566471698</v>
      </c>
      <c r="AI360">
        <f t="shared" si="334"/>
        <v>1.5700299015129764</v>
      </c>
      <c r="AJ360" t="str">
        <f t="shared" si="316"/>
        <v>1+3,30529224012436i</v>
      </c>
      <c r="AK360">
        <f t="shared" si="335"/>
        <v>3.4532530739327965</v>
      </c>
      <c r="AL360">
        <f t="shared" si="336"/>
        <v>1.2770062089313754</v>
      </c>
      <c r="AM360" t="str">
        <f t="shared" si="317"/>
        <v>1-0,207772423310262i</v>
      </c>
      <c r="AN360">
        <f t="shared" si="337"/>
        <v>1.0213566369727172</v>
      </c>
      <c r="AO360">
        <f t="shared" si="338"/>
        <v>-0.20485775136924736</v>
      </c>
      <c r="AP360" s="41" t="str">
        <f t="shared" si="339"/>
        <v>0,406757308457106-0,221094901397327i</v>
      </c>
      <c r="AQ360">
        <f t="shared" si="340"/>
        <v>-6.6890799198112685</v>
      </c>
      <c r="AR360" s="43">
        <f t="shared" si="341"/>
        <v>-28.526505436262823</v>
      </c>
      <c r="AS360" t="str">
        <f t="shared" si="318"/>
        <v>-0,0000166666666666667</v>
      </c>
      <c r="AT360" t="str">
        <f t="shared" si="319"/>
        <v>0,000251532739473464i</v>
      </c>
      <c r="AU360">
        <f t="shared" si="342"/>
        <v>2.5153273947346402E-4</v>
      </c>
      <c r="AV360">
        <f t="shared" si="343"/>
        <v>1.5707963267948966</v>
      </c>
      <c r="AW360" t="str">
        <f t="shared" si="320"/>
        <v>1+0,788318714300356i</v>
      </c>
      <c r="AX360">
        <f t="shared" si="344"/>
        <v>1.2733602771078445</v>
      </c>
      <c r="AY360">
        <f t="shared" si="345"/>
        <v>0.66757751029215073</v>
      </c>
      <c r="AZ360" t="str">
        <f t="shared" si="321"/>
        <v>1+54,5373219620519i</v>
      </c>
      <c r="BA360">
        <f t="shared" si="346"/>
        <v>54.546489225178448</v>
      </c>
      <c r="BB360">
        <f t="shared" si="347"/>
        <v>1.5524623141192364</v>
      </c>
      <c r="BC360" s="41" t="str">
        <f t="shared" si="348"/>
        <v>-2,19645367524089+1,79776596406624i</v>
      </c>
      <c r="BD360">
        <f t="shared" si="349"/>
        <v>9.0613946875721201</v>
      </c>
      <c r="BE360" s="43">
        <f t="shared" si="350"/>
        <v>140.70016461455378</v>
      </c>
      <c r="BF360" s="41" t="str">
        <f t="shared" si="351"/>
        <v>0,0389412138315577+0,484296275321568i</v>
      </c>
      <c r="BG360" s="20">
        <f t="shared" si="352"/>
        <v>-6.2697888426599881</v>
      </c>
      <c r="BH360" s="43">
        <f t="shared" si="353"/>
        <v>85.402861006054792</v>
      </c>
      <c r="BI360" s="41" t="str">
        <f t="shared" si="306"/>
        <v>-0,495946696531007+1,21687915353056i</v>
      </c>
      <c r="BJ360" s="20">
        <f t="shared" si="354"/>
        <v>2.3723147677608587</v>
      </c>
      <c r="BK360" s="43">
        <f t="shared" si="307"/>
        <v>112.17365917829095</v>
      </c>
      <c r="BL360">
        <f t="shared" si="355"/>
        <v>-6.2697888426599881</v>
      </c>
      <c r="BM360" s="43">
        <f t="shared" si="356"/>
        <v>85.402861006054792</v>
      </c>
    </row>
    <row r="361" spans="14:65" x14ac:dyDescent="0.25">
      <c r="N361" s="9">
        <v>43</v>
      </c>
      <c r="O361" s="34">
        <f t="shared" si="308"/>
        <v>26915.348039269167</v>
      </c>
      <c r="P361" s="33" t="str">
        <f t="shared" si="309"/>
        <v>54,631621870174</v>
      </c>
      <c r="Q361" s="4" t="str">
        <f t="shared" si="310"/>
        <v>1+1348,0509714572i</v>
      </c>
      <c r="R361" s="4">
        <f t="shared" si="322"/>
        <v>1348.0513423630052</v>
      </c>
      <c r="S361" s="4">
        <f t="shared" si="323"/>
        <v>1.5700545152182239</v>
      </c>
      <c r="T361" s="4" t="str">
        <f t="shared" si="311"/>
        <v>1+3,38228238675922i</v>
      </c>
      <c r="U361" s="4">
        <f t="shared" si="324"/>
        <v>3.5270149055230329</v>
      </c>
      <c r="V361" s="4">
        <f t="shared" si="325"/>
        <v>1.283327449765846</v>
      </c>
      <c r="W361" t="str">
        <f t="shared" si="312"/>
        <v>1-0,672962383977092i</v>
      </c>
      <c r="X361" s="4">
        <f t="shared" si="326"/>
        <v>1.2053540435275152</v>
      </c>
      <c r="Y361" s="4">
        <f t="shared" si="327"/>
        <v>-0.59234852162768636</v>
      </c>
      <c r="Z361" t="str">
        <f t="shared" si="313"/>
        <v>0,9971022561597+0,0924595886100067i</v>
      </c>
      <c r="AA361" s="4">
        <f t="shared" si="328"/>
        <v>1.0013798903336815</v>
      </c>
      <c r="AB361" s="4">
        <f t="shared" si="329"/>
        <v>9.2463878397967644E-2</v>
      </c>
      <c r="AC361" s="47" t="str">
        <f t="shared" si="330"/>
        <v>0,0970425358801628-0,142073123401769i</v>
      </c>
      <c r="AD361" s="20">
        <f t="shared" si="331"/>
        <v>-15.286785618675506</v>
      </c>
      <c r="AE361" s="43">
        <f t="shared" si="332"/>
        <v>-55.665111002287162</v>
      </c>
      <c r="AF361" t="str">
        <f t="shared" si="314"/>
        <v>171,265703090588</v>
      </c>
      <c r="AG361" t="str">
        <f t="shared" si="315"/>
        <v>1+1335,15010015517i</v>
      </c>
      <c r="AH361">
        <f t="shared" si="333"/>
        <v>1335.1504746448472</v>
      </c>
      <c r="AI361">
        <f t="shared" si="334"/>
        <v>1.5700473474757222</v>
      </c>
      <c r="AJ361" t="str">
        <f t="shared" si="316"/>
        <v>1+3,38228238675922i</v>
      </c>
      <c r="AK361">
        <f t="shared" si="335"/>
        <v>3.5270149055230329</v>
      </c>
      <c r="AL361">
        <f t="shared" si="336"/>
        <v>1.283327449765846</v>
      </c>
      <c r="AM361" t="str">
        <f t="shared" si="317"/>
        <v>1-0,212612064762582i</v>
      </c>
      <c r="AN361">
        <f t="shared" si="337"/>
        <v>1.0223521360483423</v>
      </c>
      <c r="AO361">
        <f t="shared" si="338"/>
        <v>-0.20949261348518949</v>
      </c>
      <c r="AP361" s="41" t="str">
        <f t="shared" si="339"/>
        <v>0,406752791339962-0,220213833820162i</v>
      </c>
      <c r="AQ361">
        <f t="shared" si="340"/>
        <v>-6.6970401787103571</v>
      </c>
      <c r="AR361" s="43">
        <f t="shared" si="341"/>
        <v>-28.430882633065391</v>
      </c>
      <c r="AS361" t="str">
        <f t="shared" si="318"/>
        <v>-0,0000166666666666667</v>
      </c>
      <c r="AT361" t="str">
        <f t="shared" si="319"/>
        <v>0,000257391689632377i</v>
      </c>
      <c r="AU361">
        <f t="shared" si="342"/>
        <v>2.5739168963237702E-4</v>
      </c>
      <c r="AV361">
        <f t="shared" si="343"/>
        <v>1.5707963267948966</v>
      </c>
      <c r="AW361" t="str">
        <f t="shared" si="320"/>
        <v>1+0,80668101602733i</v>
      </c>
      <c r="AX361">
        <f t="shared" si="344"/>
        <v>1.2848090370241352</v>
      </c>
      <c r="AY361">
        <f t="shared" si="345"/>
        <v>0.67880147668204149</v>
      </c>
      <c r="AZ361" t="str">
        <f t="shared" si="321"/>
        <v>1+55,8076593815271i</v>
      </c>
      <c r="BA361">
        <f t="shared" si="346"/>
        <v>55.816618006150733</v>
      </c>
      <c r="BB361">
        <f t="shared" si="347"/>
        <v>1.5528795568525156</v>
      </c>
      <c r="BC361" s="41" t="str">
        <f t="shared" si="348"/>
        <v>-2,1574834769017+1,80515311853512i</v>
      </c>
      <c r="BD361">
        <f t="shared" si="349"/>
        <v>8.9835832940334122</v>
      </c>
      <c r="BE361" s="43">
        <f t="shared" si="350"/>
        <v>140.08098495866579</v>
      </c>
      <c r="BF361" s="41" t="str">
        <f t="shared" si="351"/>
        <v>0,0470960740506366+0,481697052525765i</v>
      </c>
      <c r="BG361" s="20">
        <f t="shared" si="352"/>
        <v>-6.3032023246420916</v>
      </c>
      <c r="BH361" s="43">
        <f t="shared" si="353"/>
        <v>84.415873956378647</v>
      </c>
      <c r="BI361" s="41" t="str">
        <f t="shared" si="306"/>
        <v>-0,480042737634573+1,20935877761237i</v>
      </c>
      <c r="BJ361" s="20">
        <f t="shared" si="354"/>
        <v>2.2865431153230329</v>
      </c>
      <c r="BK361" s="43">
        <f t="shared" si="307"/>
        <v>111.65010232560047</v>
      </c>
      <c r="BL361">
        <f t="shared" si="355"/>
        <v>-6.3032023246420916</v>
      </c>
      <c r="BM361" s="43">
        <f t="shared" si="356"/>
        <v>84.415873956378647</v>
      </c>
    </row>
    <row r="362" spans="14:65" x14ac:dyDescent="0.25">
      <c r="N362" s="9">
        <v>44</v>
      </c>
      <c r="O362" s="34">
        <f t="shared" si="308"/>
        <v>27542.287033381719</v>
      </c>
      <c r="P362" s="33" t="str">
        <f t="shared" si="309"/>
        <v>54,631621870174</v>
      </c>
      <c r="Q362" s="4" t="str">
        <f t="shared" si="310"/>
        <v>1+1379,45111232942i</v>
      </c>
      <c r="R362" s="4">
        <f t="shared" si="322"/>
        <v>1379.4514747923808</v>
      </c>
      <c r="S362" s="4">
        <f t="shared" si="323"/>
        <v>1.5700714009052514</v>
      </c>
      <c r="T362" s="4" t="str">
        <f t="shared" si="311"/>
        <v>1+3,46106586428534i</v>
      </c>
      <c r="U362" s="4">
        <f t="shared" si="324"/>
        <v>3.6026347187747505</v>
      </c>
      <c r="V362" s="4">
        <f t="shared" si="325"/>
        <v>1.2895277169452335</v>
      </c>
      <c r="W362" t="str">
        <f t="shared" si="312"/>
        <v>1-0,688637691592309i</v>
      </c>
      <c r="X362" s="4">
        <f t="shared" si="326"/>
        <v>1.2141753869526364</v>
      </c>
      <c r="Y362" s="4">
        <f t="shared" si="327"/>
        <v>-0.60305947977570618</v>
      </c>
      <c r="Z362" t="str">
        <f t="shared" si="313"/>
        <v>0,996965689699883+0,0946132490937815i</v>
      </c>
      <c r="AA362" s="4">
        <f t="shared" si="328"/>
        <v>1.0014450825396495</v>
      </c>
      <c r="AB362" s="4">
        <f t="shared" si="329"/>
        <v>9.461783750314913E-2</v>
      </c>
      <c r="AC362" s="47" t="str">
        <f t="shared" si="330"/>
        <v>0,0966128012177583-0,143493176793523i</v>
      </c>
      <c r="AD362" s="20">
        <f t="shared" si="331"/>
        <v>-15.239756350373948</v>
      </c>
      <c r="AE362" s="43">
        <f t="shared" si="332"/>
        <v>-56.047934802049099</v>
      </c>
      <c r="AF362" t="str">
        <f t="shared" si="314"/>
        <v>171,265703090588</v>
      </c>
      <c r="AG362" t="str">
        <f t="shared" si="315"/>
        <v>1+1366,24974113173i</v>
      </c>
      <c r="AH362">
        <f t="shared" si="333"/>
        <v>1366.2501070969834</v>
      </c>
      <c r="AI362">
        <f t="shared" si="334"/>
        <v>1.5700643963203134</v>
      </c>
      <c r="AJ362" t="str">
        <f t="shared" si="316"/>
        <v>1+3,46106586428534i</v>
      </c>
      <c r="AK362">
        <f t="shared" si="335"/>
        <v>3.6026347187747505</v>
      </c>
      <c r="AL362">
        <f t="shared" si="336"/>
        <v>1.2895277169452335</v>
      </c>
      <c r="AM362" t="str">
        <f t="shared" si="317"/>
        <v>1-0,217564435945892i</v>
      </c>
      <c r="AN362">
        <f t="shared" si="337"/>
        <v>1.0233935136536942</v>
      </c>
      <c r="AO362">
        <f t="shared" si="338"/>
        <v>-0.21422599642147758</v>
      </c>
      <c r="AP362" s="41" t="str">
        <f t="shared" si="339"/>
        <v>0,406748477526357-0,219449526227941i</v>
      </c>
      <c r="AQ362">
        <f t="shared" si="340"/>
        <v>-6.7039383427917727</v>
      </c>
      <c r="AR362" s="43">
        <f t="shared" si="341"/>
        <v>-28.34781318374214</v>
      </c>
      <c r="AS362" t="str">
        <f t="shared" si="318"/>
        <v>-0,0000166666666666667</v>
      </c>
      <c r="AT362" t="str">
        <f t="shared" si="319"/>
        <v>0,000263387112272114i</v>
      </c>
      <c r="AU362">
        <f t="shared" si="342"/>
        <v>2.6338711227211399E-4</v>
      </c>
      <c r="AV362">
        <f t="shared" si="343"/>
        <v>1.5707963267948966</v>
      </c>
      <c r="AW362" t="str">
        <f t="shared" si="320"/>
        <v>1+0,825471030706687i</v>
      </c>
      <c r="AX362">
        <f t="shared" si="344"/>
        <v>1.2966890230644972</v>
      </c>
      <c r="AY362">
        <f t="shared" si="345"/>
        <v>0.69008025108902704</v>
      </c>
      <c r="AZ362" t="str">
        <f t="shared" si="321"/>
        <v>1+57,1075867607081i</v>
      </c>
      <c r="BA362">
        <f t="shared" si="346"/>
        <v>57.116341493759947</v>
      </c>
      <c r="BB362">
        <f t="shared" si="347"/>
        <v>1.5532873080103766</v>
      </c>
      <c r="BC362" s="41" t="str">
        <f t="shared" si="348"/>
        <v>-2,11813177289634+1,81173463406689i</v>
      </c>
      <c r="BD362">
        <f t="shared" si="349"/>
        <v>8.903575519256405</v>
      </c>
      <c r="BE362" s="43">
        <f t="shared" si="350"/>
        <v>139.4581212075023</v>
      </c>
      <c r="BF362" s="41" t="str">
        <f t="shared" si="351"/>
        <v>0,0553329142212569+0,478974215020625i</v>
      </c>
      <c r="BG362" s="20">
        <f t="shared" si="352"/>
        <v>-6.3361808311175487</v>
      </c>
      <c r="BH362" s="43">
        <f t="shared" si="353"/>
        <v>83.410186405453217</v>
      </c>
      <c r="BI362" s="41" t="str">
        <f t="shared" si="306"/>
        <v>-0,463962566729059+1,20174331813893i</v>
      </c>
      <c r="BJ362" s="20">
        <f t="shared" si="354"/>
        <v>2.1996371764646354</v>
      </c>
      <c r="BK362" s="43">
        <f t="shared" si="307"/>
        <v>111.11030802376017</v>
      </c>
      <c r="BL362">
        <f t="shared" si="355"/>
        <v>-6.3361808311175487</v>
      </c>
      <c r="BM362" s="43">
        <f t="shared" si="356"/>
        <v>83.410186405453217</v>
      </c>
    </row>
    <row r="363" spans="14:65" x14ac:dyDescent="0.25">
      <c r="N363" s="9">
        <v>45</v>
      </c>
      <c r="O363" s="34">
        <f t="shared" si="308"/>
        <v>28183.829312644593</v>
      </c>
      <c r="P363" s="33" t="str">
        <f t="shared" si="309"/>
        <v>54,631621870174</v>
      </c>
      <c r="Q363" s="4" t="str">
        <f t="shared" si="310"/>
        <v>1+1411,58265644058i</v>
      </c>
      <c r="R363" s="4">
        <f t="shared" si="322"/>
        <v>1411.5830106528786</v>
      </c>
      <c r="S363" s="4">
        <f t="shared" si="323"/>
        <v>1.5700879022275156</v>
      </c>
      <c r="T363" s="4" t="str">
        <f t="shared" si="311"/>
        <v>1+3,54168444474532i</v>
      </c>
      <c r="U363" s="4">
        <f t="shared" si="324"/>
        <v>3.6801533536187003</v>
      </c>
      <c r="V363" s="4">
        <f t="shared" si="325"/>
        <v>1.2956083903340623</v>
      </c>
      <c r="W363" t="str">
        <f t="shared" si="312"/>
        <v>1-0,704678124026805i</v>
      </c>
      <c r="X363" s="4">
        <f t="shared" si="326"/>
        <v>1.2233442927001119</v>
      </c>
      <c r="Y363" s="4">
        <f t="shared" si="327"/>
        <v>-0.61385874951163222</v>
      </c>
      <c r="Z363" t="str">
        <f t="shared" si="313"/>
        <v>0,996822687061103+0,09681707477458i</v>
      </c>
      <c r="AA363" s="4">
        <f t="shared" si="328"/>
        <v>1.0015133625706769</v>
      </c>
      <c r="AB363" s="4">
        <f t="shared" si="329"/>
        <v>9.6821982165949144E-2</v>
      </c>
      <c r="AC363" s="47" t="str">
        <f t="shared" si="330"/>
        <v>0,0961630539129257-0,144986825480243i</v>
      </c>
      <c r="AD363" s="20">
        <f t="shared" si="331"/>
        <v>-15.190089212506217</v>
      </c>
      <c r="AE363" s="43">
        <f t="shared" si="332"/>
        <v>-56.445524100700439</v>
      </c>
      <c r="AF363" t="str">
        <f t="shared" si="314"/>
        <v>171,265703090588</v>
      </c>
      <c r="AG363" t="str">
        <f t="shared" si="315"/>
        <v>1+1398,0737858055i</v>
      </c>
      <c r="AH363">
        <f t="shared" si="333"/>
        <v>1398.0741434403697</v>
      </c>
      <c r="AI363">
        <f t="shared" si="334"/>
        <v>1.5700810570862331</v>
      </c>
      <c r="AJ363" t="str">
        <f t="shared" si="316"/>
        <v>1+3,54168444474532i</v>
      </c>
      <c r="AK363">
        <f t="shared" si="335"/>
        <v>3.6801533536187003</v>
      </c>
      <c r="AL363">
        <f t="shared" si="336"/>
        <v>1.2956083903340623</v>
      </c>
      <c r="AM363" t="str">
        <f t="shared" si="317"/>
        <v>1-0,222632162672946i</v>
      </c>
      <c r="AN363">
        <f t="shared" si="337"/>
        <v>1.0244828353156694</v>
      </c>
      <c r="AO363">
        <f t="shared" si="338"/>
        <v>-0.21905956107980412</v>
      </c>
      <c r="AP363" s="41" t="str">
        <f t="shared" si="339"/>
        <v>0,40674435786614-0,218801573394994i</v>
      </c>
      <c r="AQ363">
        <f t="shared" si="340"/>
        <v>-6.7097839853422405</v>
      </c>
      <c r="AR363" s="43">
        <f t="shared" si="341"/>
        <v>-28.277313708461154</v>
      </c>
      <c r="AS363" t="str">
        <f t="shared" si="318"/>
        <v>-0,0000166666666666667</v>
      </c>
      <c r="AT363" t="str">
        <f t="shared" si="319"/>
        <v>0,000269522186245119i</v>
      </c>
      <c r="AU363">
        <f t="shared" si="342"/>
        <v>2.69522186245119E-4</v>
      </c>
      <c r="AV363">
        <f t="shared" si="343"/>
        <v>1.5707963267948966</v>
      </c>
      <c r="AW363" t="str">
        <f t="shared" si="320"/>
        <v>1+0,844698721052924i</v>
      </c>
      <c r="AX363">
        <f t="shared" si="344"/>
        <v>1.3090133419291208</v>
      </c>
      <c r="AY363">
        <f t="shared" si="345"/>
        <v>0.70140833612553821</v>
      </c>
      <c r="AZ363" t="str">
        <f t="shared" si="321"/>
        <v>1+58,4377933382978i</v>
      </c>
      <c r="BA363">
        <f t="shared" si="346"/>
        <v>58.446348818806491</v>
      </c>
      <c r="BB363">
        <f t="shared" si="347"/>
        <v>1.5536857832452251</v>
      </c>
      <c r="BC363" s="41" t="str">
        <f t="shared" si="348"/>
        <v>-2,0784352413651+1,81748941843755i</v>
      </c>
      <c r="BD363">
        <f t="shared" si="349"/>
        <v>8.8213508290983054</v>
      </c>
      <c r="BE363" s="43">
        <f t="shared" si="350"/>
        <v>138.83190069414226</v>
      </c>
      <c r="BF363" s="41" t="str">
        <f t="shared" si="351"/>
        <v>0,0636433409532766+0,476121060543171i</v>
      </c>
      <c r="BG363" s="20">
        <f t="shared" si="352"/>
        <v>-6.368738383407905</v>
      </c>
      <c r="BH363" s="43">
        <f t="shared" si="353"/>
        <v>82.386376593441824</v>
      </c>
      <c r="BI363" s="41" t="str">
        <f t="shared" si="306"/>
        <v>-0,447722263232515+1,19401846744117i</v>
      </c>
      <c r="BJ363" s="20">
        <f t="shared" si="354"/>
        <v>2.1115668437560422</v>
      </c>
      <c r="BK363" s="43">
        <f t="shared" si="307"/>
        <v>110.55458698568115</v>
      </c>
      <c r="BL363">
        <f t="shared" si="355"/>
        <v>-6.368738383407905</v>
      </c>
      <c r="BM363" s="43">
        <f t="shared" si="356"/>
        <v>82.386376593441824</v>
      </c>
    </row>
    <row r="364" spans="14:65" x14ac:dyDescent="0.25">
      <c r="N364" s="9">
        <v>46</v>
      </c>
      <c r="O364" s="34">
        <f t="shared" si="308"/>
        <v>28840.315031266062</v>
      </c>
      <c r="P364" s="33" t="str">
        <f t="shared" si="309"/>
        <v>54,631621870174</v>
      </c>
      <c r="Q364" s="4" t="str">
        <f t="shared" si="310"/>
        <v>1+1444,46264036069i</v>
      </c>
      <c r="R364" s="4">
        <f t="shared" si="322"/>
        <v>1444.4629865101342</v>
      </c>
      <c r="S364" s="4">
        <f t="shared" si="323"/>
        <v>1.5701040279341998</v>
      </c>
      <c r="T364" s="4" t="str">
        <f t="shared" si="311"/>
        <v>1+3,62418087317762i</v>
      </c>
      <c r="U364" s="4">
        <f t="shared" si="324"/>
        <v>3.7596126132231356</v>
      </c>
      <c r="V364" s="4">
        <f t="shared" si="325"/>
        <v>1.3015708946421003</v>
      </c>
      <c r="W364" t="str">
        <f t="shared" si="312"/>
        <v>1-0,721092186130174i</v>
      </c>
      <c r="X364" s="4">
        <f t="shared" si="326"/>
        <v>1.2328722321870964</v>
      </c>
      <c r="Y364" s="4">
        <f t="shared" si="327"/>
        <v>-0.62474198118773083</v>
      </c>
      <c r="Z364" t="str">
        <f t="shared" si="313"/>
        <v>0,996672944915589+0,0990722341499489i</v>
      </c>
      <c r="AA364" s="4">
        <f t="shared" si="328"/>
        <v>1.0015848774348457</v>
      </c>
      <c r="AB364" s="4">
        <f t="shared" si="329"/>
        <v>9.9077482218777366E-2</v>
      </c>
      <c r="AC364" s="47" t="str">
        <f t="shared" si="330"/>
        <v>0,0956923563689198-0,146554684060599i</v>
      </c>
      <c r="AD364" s="20">
        <f t="shared" si="331"/>
        <v>-15.137778271642393</v>
      </c>
      <c r="AE364" s="43">
        <f t="shared" si="332"/>
        <v>-56.857615579678232</v>
      </c>
      <c r="AF364" t="str">
        <f t="shared" si="314"/>
        <v>171,265703090588</v>
      </c>
      <c r="AG364" t="str">
        <f t="shared" si="315"/>
        <v>1+1430,63910770618i</v>
      </c>
      <c r="AH364">
        <f t="shared" si="333"/>
        <v>1430.6394572002882</v>
      </c>
      <c r="AI364">
        <f t="shared" si="334"/>
        <v>1.5700973386072035</v>
      </c>
      <c r="AJ364" t="str">
        <f t="shared" si="316"/>
        <v>1+3,62418087317762i</v>
      </c>
      <c r="AK364">
        <f t="shared" si="335"/>
        <v>3.7596126132231356</v>
      </c>
      <c r="AL364">
        <f t="shared" si="336"/>
        <v>1.3015708946421003</v>
      </c>
      <c r="AM364" t="str">
        <f t="shared" si="317"/>
        <v>1-0,227817931919534i</v>
      </c>
      <c r="AN364">
        <f t="shared" si="337"/>
        <v>1.0256222550744956</v>
      </c>
      <c r="AO364">
        <f t="shared" si="338"/>
        <v>-0.22399496644073269</v>
      </c>
      <c r="AP364" s="41" t="str">
        <f t="shared" si="339"/>
        <v>0,406740423620992-0,21826963178713i</v>
      </c>
      <c r="AQ364">
        <f t="shared" si="340"/>
        <v>-6.7145852589184187</v>
      </c>
      <c r="AR364" s="43">
        <f t="shared" si="341"/>
        <v>-28.219398136085179</v>
      </c>
      <c r="AS364" t="str">
        <f t="shared" si="318"/>
        <v>-0,0000166666666666667</v>
      </c>
      <c r="AT364" t="str">
        <f t="shared" si="319"/>
        <v>0,000275800164448818i</v>
      </c>
      <c r="AU364">
        <f t="shared" si="342"/>
        <v>2.7580016444881799E-4</v>
      </c>
      <c r="AV364">
        <f t="shared" si="343"/>
        <v>1.5707963267948966</v>
      </c>
      <c r="AW364" t="str">
        <f t="shared" si="320"/>
        <v>1+0,864374281841968i</v>
      </c>
      <c r="AX364">
        <f t="shared" si="344"/>
        <v>1.3217953317778883</v>
      </c>
      <c r="AY364">
        <f t="shared" si="345"/>
        <v>0.71278010941589487</v>
      </c>
      <c r="AZ364" t="str">
        <f t="shared" si="321"/>
        <v>1+59,7989844074307i</v>
      </c>
      <c r="BA364">
        <f t="shared" si="346"/>
        <v>59.807345168968496</v>
      </c>
      <c r="BB364">
        <f t="shared" si="347"/>
        <v>1.5540751933274466</v>
      </c>
      <c r="BC364" s="41" t="str">
        <f t="shared" si="348"/>
        <v>-2,0384319428095+1,82239837409345i</v>
      </c>
      <c r="BD364">
        <f t="shared" si="349"/>
        <v>8.7368907945647472</v>
      </c>
      <c r="BE364" s="43">
        <f t="shared" si="350"/>
        <v>138.20265763323621</v>
      </c>
      <c r="BF364" s="41" t="str">
        <f t="shared" si="351"/>
        <v>0,0720186620426986+0,47313134401737i</v>
      </c>
      <c r="BG364" s="20">
        <f t="shared" si="352"/>
        <v>-6.4008874770776405</v>
      </c>
      <c r="BH364" s="43">
        <f t="shared" si="353"/>
        <v>81.345042053558032</v>
      </c>
      <c r="BI364" s="41" t="str">
        <f t="shared" si="306"/>
        <v>-0,431338449858056+1,18617087626513i</v>
      </c>
      <c r="BJ364" s="20">
        <f t="shared" si="354"/>
        <v>2.0223055356463244</v>
      </c>
      <c r="BK364" s="43">
        <f t="shared" si="307"/>
        <v>109.98325949715107</v>
      </c>
      <c r="BL364">
        <f t="shared" si="355"/>
        <v>-6.4008874770776405</v>
      </c>
      <c r="BM364" s="43">
        <f t="shared" si="356"/>
        <v>81.345042053558032</v>
      </c>
    </row>
    <row r="365" spans="14:65" x14ac:dyDescent="0.25">
      <c r="N365" s="9">
        <v>47</v>
      </c>
      <c r="O365" s="34">
        <f t="shared" si="308"/>
        <v>29512.092266663854</v>
      </c>
      <c r="P365" s="33" t="str">
        <f t="shared" si="309"/>
        <v>54,631621870174</v>
      </c>
      <c r="Q365" s="4" t="str">
        <f t="shared" si="310"/>
        <v>1+1478,10849749246i</v>
      </c>
      <c r="R365" s="4">
        <f t="shared" si="322"/>
        <v>1478.1088357625827</v>
      </c>
      <c r="S365" s="4">
        <f t="shared" si="323"/>
        <v>1.5701197865753338</v>
      </c>
      <c r="T365" s="4" t="str">
        <f t="shared" si="311"/>
        <v>1+3,70859889028062i</v>
      </c>
      <c r="U365" s="4">
        <f t="shared" si="324"/>
        <v>3.8410552884579321</v>
      </c>
      <c r="V365" s="4">
        <f t="shared" si="325"/>
        <v>1.3074166947897257</v>
      </c>
      <c r="W365" t="str">
        <f t="shared" si="312"/>
        <v>1-0,73788858085542i</v>
      </c>
      <c r="X365" s="4">
        <f t="shared" si="326"/>
        <v>1.2427709192593885</v>
      </c>
      <c r="Y365" s="4">
        <f t="shared" si="327"/>
        <v>-0.63570463293013235</v>
      </c>
      <c r="Z365" t="str">
        <f t="shared" si="313"/>
        <v>0,996516145640176+0,101379922935241i</v>
      </c>
      <c r="AA365" s="4">
        <f t="shared" si="328"/>
        <v>1.0016597812111196</v>
      </c>
      <c r="AB365" s="4">
        <f t="shared" si="329"/>
        <v>0.10138553479256615</v>
      </c>
      <c r="AC365" s="47" t="str">
        <f t="shared" si="330"/>
        <v>0,0951997281321054-0,148197393854365i</v>
      </c>
      <c r="AD365" s="20">
        <f t="shared" si="331"/>
        <v>-15.082818297485652</v>
      </c>
      <c r="AE365" s="43">
        <f t="shared" si="332"/>
        <v>-57.283934155453935</v>
      </c>
      <c r="AF365" t="str">
        <f t="shared" si="314"/>
        <v>171,265703090588</v>
      </c>
      <c r="AG365" t="str">
        <f t="shared" si="315"/>
        <v>1+1463,96297339853i</v>
      </c>
      <c r="AH365">
        <f t="shared" si="333"/>
        <v>1463.9633149371828</v>
      </c>
      <c r="AI365">
        <f t="shared" si="334"/>
        <v>1.5701132495158674</v>
      </c>
      <c r="AJ365" t="str">
        <f t="shared" si="316"/>
        <v>1+3,70859889028062i</v>
      </c>
      <c r="AK365">
        <f t="shared" si="335"/>
        <v>3.8410552884579321</v>
      </c>
      <c r="AL365">
        <f t="shared" si="336"/>
        <v>1.3074166947897257</v>
      </c>
      <c r="AM365" t="str">
        <f t="shared" si="317"/>
        <v>1-0,233124493249154i</v>
      </c>
      <c r="AN365">
        <f t="shared" si="337"/>
        <v>1.0268140188722956</v>
      </c>
      <c r="AO365">
        <f t="shared" si="338"/>
        <v>-0.2290338671444615</v>
      </c>
      <c r="AP365" s="41" t="str">
        <f t="shared" si="339"/>
        <v>0,406736666445876-0,217853419379573i</v>
      </c>
      <c r="AQ365">
        <f t="shared" si="340"/>
        <v>-6.7183488870667043</v>
      </c>
      <c r="AR365" s="43">
        <f t="shared" si="341"/>
        <v>-28.174077831373083</v>
      </c>
      <c r="AS365" t="str">
        <f t="shared" si="318"/>
        <v>-0,0000166666666666667</v>
      </c>
      <c r="AT365" t="str">
        <f t="shared" si="319"/>
        <v>0,000282224375550355i</v>
      </c>
      <c r="AU365">
        <f t="shared" si="342"/>
        <v>2.82224375550355E-4</v>
      </c>
      <c r="AV365">
        <f t="shared" si="343"/>
        <v>1.5707963267948966</v>
      </c>
      <c r="AW365" t="str">
        <f t="shared" si="320"/>
        <v>1+0,884508145316599i</v>
      </c>
      <c r="AX365">
        <f t="shared" si="344"/>
        <v>1.335048560589243</v>
      </c>
      <c r="AY365">
        <f t="shared" si="345"/>
        <v>0.72418983674469894</v>
      </c>
      <c r="AZ365" t="str">
        <f t="shared" si="321"/>
        <v>1+61,1918816896302i</v>
      </c>
      <c r="BA365">
        <f t="shared" si="346"/>
        <v>61.200052162704075</v>
      </c>
      <c r="BB365">
        <f t="shared" si="347"/>
        <v>1.5544557442547493</v>
      </c>
      <c r="BC365" s="41" t="str">
        <f t="shared" si="348"/>
        <v>-1,99816118299029+1,82644450953924i</v>
      </c>
      <c r="BD365">
        <f t="shared" si="349"/>
        <v>8.6501791653728421</v>
      </c>
      <c r="BE365" s="43">
        <f t="shared" si="350"/>
        <v>137.57073237392478</v>
      </c>
      <c r="BF365" s="41" t="str">
        <f t="shared" si="351"/>
        <v>0,0804499149485276+0,469999300576628i</v>
      </c>
      <c r="BG365" s="20">
        <f t="shared" si="352"/>
        <v>-6.432639132112814</v>
      </c>
      <c r="BH365" s="43">
        <f t="shared" si="353"/>
        <v>80.28679821847085</v>
      </c>
      <c r="BI365" s="41" t="str">
        <f t="shared" si="306"/>
        <v>-0,414828236880848+1,17818819744433i</v>
      </c>
      <c r="BJ365" s="20">
        <f t="shared" si="354"/>
        <v>1.9318302783061303</v>
      </c>
      <c r="BK365" s="43">
        <f t="shared" si="307"/>
        <v>109.39665454255172</v>
      </c>
      <c r="BL365">
        <f t="shared" si="355"/>
        <v>-6.432639132112814</v>
      </c>
      <c r="BM365" s="43">
        <f t="shared" si="356"/>
        <v>80.28679821847085</v>
      </c>
    </row>
    <row r="366" spans="14:65" x14ac:dyDescent="0.25">
      <c r="N366" s="9">
        <v>48</v>
      </c>
      <c r="O366" s="34">
        <f t="shared" si="308"/>
        <v>30199.517204020212</v>
      </c>
      <c r="P366" s="33" t="str">
        <f t="shared" si="309"/>
        <v>54,631621870174</v>
      </c>
      <c r="Q366" s="4" t="str">
        <f t="shared" si="310"/>
        <v>1+1512,53806731467i</v>
      </c>
      <c r="R366" s="4">
        <f t="shared" si="322"/>
        <v>1512.5383978848263</v>
      </c>
      <c r="S366" s="4">
        <f t="shared" si="323"/>
        <v>1.5701351865063264</v>
      </c>
      <c r="T366" s="4" t="str">
        <f t="shared" si="311"/>
        <v>1+3,79498325560434i</v>
      </c>
      <c r="U366" s="4">
        <f t="shared" si="324"/>
        <v>3.924525182785469</v>
      </c>
      <c r="V366" s="4">
        <f t="shared" si="325"/>
        <v>1.3131472914867097</v>
      </c>
      <c r="W366" t="str">
        <f t="shared" si="312"/>
        <v>1-0,755076213873342i</v>
      </c>
      <c r="X366" s="4">
        <f t="shared" si="326"/>
        <v>1.2530523088671521</v>
      </c>
      <c r="Y366" s="4">
        <f t="shared" si="327"/>
        <v>-0.64674197765313268</v>
      </c>
      <c r="Z366" t="str">
        <f t="shared" si="313"/>
        <v>0,996351956642576+0,103741364697595i</v>
      </c>
      <c r="AA366" s="4">
        <f t="shared" si="328"/>
        <v>1.0017382353962583</v>
      </c>
      <c r="AB366" s="4">
        <f t="shared" si="329"/>
        <v>0.10374736495473297</v>
      </c>
      <c r="AC366" s="47" t="str">
        <f t="shared" si="330"/>
        <v>0,0946841439650259-0,149915622346782i</v>
      </c>
      <c r="AD366" s="20">
        <f t="shared" si="331"/>
        <v>-15.025204885870359</v>
      </c>
      <c r="AE366" s="43">
        <f t="shared" si="332"/>
        <v>-57.7241936715535</v>
      </c>
      <c r="AF366" t="str">
        <f t="shared" si="314"/>
        <v>171,265703090588</v>
      </c>
      <c r="AG366" t="str">
        <f t="shared" si="315"/>
        <v>1+1498,06305163721i</v>
      </c>
      <c r="AH366">
        <f t="shared" si="333"/>
        <v>1498.0633854014957</v>
      </c>
      <c r="AI366">
        <f t="shared" si="334"/>
        <v>1.5701287982483674</v>
      </c>
      <c r="AJ366" t="str">
        <f t="shared" si="316"/>
        <v>1+3,79498325560434i</v>
      </c>
      <c r="AK366">
        <f t="shared" si="335"/>
        <v>3.924525182785469</v>
      </c>
      <c r="AL366">
        <f t="shared" si="336"/>
        <v>1.3131472914867097</v>
      </c>
      <c r="AM366" t="str">
        <f t="shared" si="317"/>
        <v>1-0,238554660270861i</v>
      </c>
      <c r="AN366">
        <f t="shared" si="337"/>
        <v>1.0280604680352932</v>
      </c>
      <c r="AO366">
        <f t="shared" si="338"/>
        <v>-0.23417791090238077</v>
      </c>
      <c r="AP366" s="41" t="str">
        <f t="shared" si="339"/>
        <v>0,406733078371342-0,217552715507523i</v>
      </c>
      <c r="AQ366">
        <f t="shared" si="340"/>
        <v>-6.7210801576345993</v>
      </c>
      <c r="AR366" s="43">
        <f t="shared" si="341"/>
        <v>-28.141361700252624</v>
      </c>
      <c r="AS366" t="str">
        <f t="shared" si="318"/>
        <v>-0,0000166666666666667</v>
      </c>
      <c r="AT366" t="str">
        <f t="shared" si="319"/>
        <v>0,00028879822575149i</v>
      </c>
      <c r="AU366">
        <f t="shared" si="342"/>
        <v>2.8879822575148998E-4</v>
      </c>
      <c r="AV366">
        <f t="shared" si="343"/>
        <v>1.5707963267948966</v>
      </c>
      <c r="AW366" t="str">
        <f t="shared" si="320"/>
        <v>1+0,905110986717723i</v>
      </c>
      <c r="AX366">
        <f t="shared" si="344"/>
        <v>1.3487868246231982</v>
      </c>
      <c r="AY366">
        <f t="shared" si="345"/>
        <v>0.73563168589189765</v>
      </c>
      <c r="AZ366" t="str">
        <f t="shared" si="321"/>
        <v>1+62,6172237174716i</v>
      </c>
      <c r="BA366">
        <f t="shared" si="346"/>
        <v>62.625208231860498</v>
      </c>
      <c r="BB366">
        <f t="shared" si="347"/>
        <v>1.5548276373591303</v>
      </c>
      <c r="BC366" s="41" t="str">
        <f t="shared" si="348"/>
        <v>-1,9576633652649+1,82961303937644i</v>
      </c>
      <c r="BD366">
        <f t="shared" si="349"/>
        <v>8.5612019355255793</v>
      </c>
      <c r="BE366" s="43">
        <f t="shared" si="350"/>
        <v>136.93647061327601</v>
      </c>
      <c r="BF366" s="41" t="str">
        <f t="shared" si="351"/>
        <v>0,0889278975401075+0,466719666169791i</v>
      </c>
      <c r="BG366" s="20">
        <f t="shared" si="352"/>
        <v>-6.4640029503447707</v>
      </c>
      <c r="BH366" s="43">
        <f t="shared" si="353"/>
        <v>79.212276941722521</v>
      </c>
      <c r="BI366" s="41" t="str">
        <f t="shared" si="306"/>
        <v>-0,398209161924677+1,1700591248969i</v>
      </c>
      <c r="BJ366" s="20">
        <f t="shared" si="354"/>
        <v>1.8401217778909704</v>
      </c>
      <c r="BK366" s="43">
        <f t="shared" si="307"/>
        <v>108.79510891302343</v>
      </c>
      <c r="BL366">
        <f t="shared" si="355"/>
        <v>-6.4640029503447707</v>
      </c>
      <c r="BM366" s="43">
        <f t="shared" si="356"/>
        <v>79.212276941722521</v>
      </c>
    </row>
    <row r="367" spans="14:65" x14ac:dyDescent="0.25">
      <c r="N367" s="9">
        <v>49</v>
      </c>
      <c r="O367" s="34">
        <f t="shared" si="308"/>
        <v>30902.954325135954</v>
      </c>
      <c r="P367" s="33" t="str">
        <f t="shared" si="309"/>
        <v>54,631621870174</v>
      </c>
      <c r="Q367" s="4" t="str">
        <f t="shared" si="310"/>
        <v>1+1547,76960484097i</v>
      </c>
      <c r="R367" s="4">
        <f t="shared" si="322"/>
        <v>1547.7699278864325</v>
      </c>
      <c r="S367" s="4">
        <f t="shared" si="323"/>
        <v>1.5701502358923956</v>
      </c>
      <c r="T367" s="4" t="str">
        <f t="shared" si="311"/>
        <v>1+3,88337977128272i</v>
      </c>
      <c r="U367" s="4">
        <f t="shared" si="324"/>
        <v>4.0100671375935635</v>
      </c>
      <c r="V367" s="4">
        <f t="shared" si="325"/>
        <v>1.3187642170233622</v>
      </c>
      <c r="W367" t="str">
        <f t="shared" si="312"/>
        <v>1-0,772664198294474i</v>
      </c>
      <c r="X367" s="4">
        <f t="shared" si="326"/>
        <v>1.2637285955956057</v>
      </c>
      <c r="Y367" s="4">
        <f t="shared" si="327"/>
        <v>-0.65784911105915866</v>
      </c>
      <c r="Z367" t="str">
        <f t="shared" si="313"/>
        <v>0,996180029655914+0,106157811504691i</v>
      </c>
      <c r="AA367" s="4">
        <f t="shared" si="328"/>
        <v>1.0018204092694074</v>
      </c>
      <c r="AB367" s="4">
        <f t="shared" si="329"/>
        <v>0.10616422636198444</v>
      </c>
      <c r="AC367" s="47" t="str">
        <f t="shared" si="330"/>
        <v>0,0941445318392534-0,151710062583655i</v>
      </c>
      <c r="AD367" s="20">
        <f t="shared" si="331"/>
        <v>-14.964934580096777</v>
      </c>
      <c r="AE367" s="43">
        <f t="shared" si="332"/>
        <v>-58.178097635727632</v>
      </c>
      <c r="AF367" t="str">
        <f t="shared" si="314"/>
        <v>171,265703090588</v>
      </c>
      <c r="AG367" t="str">
        <f t="shared" si="315"/>
        <v>1+1532,95742273508i</v>
      </c>
      <c r="AH367">
        <f t="shared" si="333"/>
        <v>1532.9577489019646</v>
      </c>
      <c r="AI367">
        <f t="shared" si="334"/>
        <v>1.5701439930488168</v>
      </c>
      <c r="AJ367" t="str">
        <f t="shared" si="316"/>
        <v>1+3,88337977128272i</v>
      </c>
      <c r="AK367">
        <f t="shared" si="335"/>
        <v>4.0100671375935635</v>
      </c>
      <c r="AL367">
        <f t="shared" si="336"/>
        <v>1.3187642170233622</v>
      </c>
      <c r="AM367" t="str">
        <f t="shared" si="317"/>
        <v>1-0,244111312131088i</v>
      </c>
      <c r="AN367">
        <f t="shared" si="337"/>
        <v>1.029364042848963</v>
      </c>
      <c r="AO367">
        <f t="shared" si="338"/>
        <v>-0.23942873573317358</v>
      </c>
      <c r="AP367" s="41" t="str">
        <f t="shared" si="339"/>
        <v>0,40672965178662-0,21736736074923i</v>
      </c>
      <c r="AQ367">
        <f t="shared" si="340"/>
        <v>-6.7227829175998224</v>
      </c>
      <c r="AR367" s="43">
        <f t="shared" si="341"/>
        <v>-28.121256272866468</v>
      </c>
      <c r="AS367" t="str">
        <f t="shared" si="318"/>
        <v>-0,0000166666666666667</v>
      </c>
      <c r="AT367" t="str">
        <f t="shared" si="319"/>
        <v>0,000295525200594615i</v>
      </c>
      <c r="AU367">
        <f t="shared" si="342"/>
        <v>2.9552520059461502E-4</v>
      </c>
      <c r="AV367">
        <f t="shared" si="343"/>
        <v>1.5707963267948966</v>
      </c>
      <c r="AW367" t="str">
        <f t="shared" si="320"/>
        <v>1+0,926193729944564i</v>
      </c>
      <c r="AX367">
        <f t="shared" si="344"/>
        <v>1.3630241470306474</v>
      </c>
      <c r="AY367">
        <f t="shared" si="345"/>
        <v>0.74709974107741906</v>
      </c>
      <c r="AZ367" t="str">
        <f t="shared" si="321"/>
        <v>1+64,0757662261649i</v>
      </c>
      <c r="BA367">
        <f t="shared" si="346"/>
        <v>64.083569013204439</v>
      </c>
      <c r="BB367">
        <f t="shared" si="347"/>
        <v>1.5551910694115243</v>
      </c>
      <c r="BC367" s="41" t="str">
        <f t="shared" si="348"/>
        <v>-1,9169798334754+1,83189147185512i</v>
      </c>
      <c r="BD367">
        <f t="shared" si="349"/>
        <v>8.4699474003354407</v>
      </c>
      <c r="BE367" s="43">
        <f t="shared" si="350"/>
        <v>136.30022257466459</v>
      </c>
      <c r="BF367" s="41" t="str">
        <f t="shared" si="351"/>
        <v>0,0974432008737726+0,463287695506279i</v>
      </c>
      <c r="BG367" s="20">
        <f t="shared" si="352"/>
        <v>-6.4949871797613294</v>
      </c>
      <c r="BH367" s="43">
        <f t="shared" si="353"/>
        <v>78.122124938936977</v>
      </c>
      <c r="BI367" s="41" t="str">
        <f t="shared" si="306"/>
        <v>-0,381499125735253+1,16177342747056i</v>
      </c>
      <c r="BJ367" s="20">
        <f t="shared" si="354"/>
        <v>1.7471644827356343</v>
      </c>
      <c r="BK367" s="43">
        <f t="shared" si="307"/>
        <v>108.17896630179811</v>
      </c>
      <c r="BL367">
        <f t="shared" si="355"/>
        <v>-6.4949871797613294</v>
      </c>
      <c r="BM367" s="43">
        <f t="shared" si="356"/>
        <v>78.122124938936977</v>
      </c>
    </row>
    <row r="368" spans="14:65" x14ac:dyDescent="0.25">
      <c r="N368" s="9">
        <v>50</v>
      </c>
      <c r="O368" s="34">
        <f t="shared" si="308"/>
        <v>31622.77660168384</v>
      </c>
      <c r="P368" s="33" t="str">
        <f t="shared" si="309"/>
        <v>54,631621870174</v>
      </c>
      <c r="Q368" s="4" t="str">
        <f t="shared" si="310"/>
        <v>1+1583,82179029892i</v>
      </c>
      <c r="R368" s="4">
        <f t="shared" si="322"/>
        <v>1583.8221059909713</v>
      </c>
      <c r="S368" s="4">
        <f t="shared" si="323"/>
        <v>1.5701649427128974</v>
      </c>
      <c r="T368" s="4" t="str">
        <f t="shared" si="311"/>
        <v>1+3,97383530631844i</v>
      </c>
      <c r="U368" s="4">
        <f t="shared" si="324"/>
        <v>4.0977270579850691</v>
      </c>
      <c r="V368" s="4">
        <f t="shared" si="325"/>
        <v>1.3242690312719128</v>
      </c>
      <c r="W368" t="str">
        <f t="shared" si="312"/>
        <v>1-0,790661859500961i</v>
      </c>
      <c r="X368" s="4">
        <f t="shared" si="326"/>
        <v>1.2748122120804763</v>
      </c>
      <c r="Y368" s="4">
        <f t="shared" si="327"/>
        <v>-0.66902096060766791</v>
      </c>
      <c r="Z368" t="str">
        <f t="shared" si="313"/>
        <v>0,996+0,108630544588612i</v>
      </c>
      <c r="AA368" s="4">
        <f t="shared" si="328"/>
        <v>1.0019064802752893</v>
      </c>
      <c r="AB368" s="4">
        <f t="shared" si="329"/>
        <v>0.10863740192827476</v>
      </c>
      <c r="AC368" s="47" t="str">
        <f t="shared" si="330"/>
        <v>0,0935797708451668-0,153581432512419i</v>
      </c>
      <c r="AD368" s="20">
        <f t="shared" si="331"/>
        <v>-14.902004989690825</v>
      </c>
      <c r="AE368" s="43">
        <f t="shared" si="332"/>
        <v>-58.645340001455089</v>
      </c>
      <c r="AF368" t="str">
        <f t="shared" si="314"/>
        <v>171,265703090588</v>
      </c>
      <c r="AG368" t="str">
        <f t="shared" si="315"/>
        <v>1+1568,66458814957i</v>
      </c>
      <c r="AH368">
        <f t="shared" si="333"/>
        <v>1568.6649068919914</v>
      </c>
      <c r="AI368">
        <f t="shared" si="334"/>
        <v>1.5701588419736721</v>
      </c>
      <c r="AJ368" t="str">
        <f t="shared" si="316"/>
        <v>1+3,97383530631844i</v>
      </c>
      <c r="AK368">
        <f t="shared" si="335"/>
        <v>4.0977270579850691</v>
      </c>
      <c r="AL368">
        <f t="shared" si="336"/>
        <v>1.3242690312719128</v>
      </c>
      <c r="AM368" t="str">
        <f t="shared" si="317"/>
        <v>1-0,249797395040202i</v>
      </c>
      <c r="AN368">
        <f t="shared" si="337"/>
        <v>1.0307272862250572</v>
      </c>
      <c r="AO368">
        <f t="shared" si="338"/>
        <v>-0.24478796701737099</v>
      </c>
      <c r="AP368" s="41" t="str">
        <f t="shared" si="339"/>
        <v>0,406726379423489-0,217297256841542i</v>
      </c>
      <c r="AQ368">
        <f t="shared" si="340"/>
        <v>-6.7234595693574315</v>
      </c>
      <c r="AR368" s="43">
        <f t="shared" si="341"/>
        <v>-28.113765764164484</v>
      </c>
      <c r="AS368" t="str">
        <f t="shared" si="318"/>
        <v>-0,0000166666666666667</v>
      </c>
      <c r="AT368" t="str">
        <f t="shared" si="319"/>
        <v>0,000302408866810834i</v>
      </c>
      <c r="AU368">
        <f t="shared" si="342"/>
        <v>3.0240886681083399E-4</v>
      </c>
      <c r="AV368">
        <f t="shared" si="343"/>
        <v>1.5707963267948966</v>
      </c>
      <c r="AW368" t="str">
        <f t="shared" si="320"/>
        <v>1+0,947767553346645i</v>
      </c>
      <c r="AX368">
        <f t="shared" si="344"/>
        <v>1.3777747766513531</v>
      </c>
      <c r="AY368">
        <f t="shared" si="345"/>
        <v>0.75858801793116803</v>
      </c>
      <c r="AZ368" t="str">
        <f t="shared" si="321"/>
        <v>1+65,5682825542543i</v>
      </c>
      <c r="BA368">
        <f t="shared" si="346"/>
        <v>65.575907749069927</v>
      </c>
      <c r="BB368">
        <f t="shared" si="347"/>
        <v>1.5555462327241705</v>
      </c>
      <c r="BC368" s="41" t="str">
        <f t="shared" si="348"/>
        <v>-1,87615270663529+1,83326968292587i</v>
      </c>
      <c r="BD368">
        <f t="shared" si="349"/>
        <v>8.3764062043984691</v>
      </c>
      <c r="BE368" s="43">
        <f t="shared" si="350"/>
        <v>135.66234215591942</v>
      </c>
      <c r="BF368" s="41" t="str">
        <f t="shared" si="351"/>
        <v>0,105986243727873+0,459699177122695i</v>
      </c>
      <c r="BG368" s="20">
        <f t="shared" si="352"/>
        <v>-6.5255987852923525</v>
      </c>
      <c r="BH368" s="43">
        <f t="shared" si="353"/>
        <v>77.017002154464393</v>
      </c>
      <c r="BI368" s="41" t="str">
        <f t="shared" si="306"/>
        <v>-0,364716324464796+1,15332197721097i</v>
      </c>
      <c r="BJ368" s="20">
        <f t="shared" si="354"/>
        <v>1.6529466350410402</v>
      </c>
      <c r="BK368" s="43">
        <f t="shared" si="307"/>
        <v>107.54857639175495</v>
      </c>
      <c r="BL368">
        <f t="shared" si="355"/>
        <v>-6.5255987852923525</v>
      </c>
      <c r="BM368" s="43">
        <f t="shared" si="356"/>
        <v>77.017002154464393</v>
      </c>
    </row>
    <row r="369" spans="14:65" x14ac:dyDescent="0.25">
      <c r="N369" s="9">
        <v>51</v>
      </c>
      <c r="O369" s="34">
        <f t="shared" si="308"/>
        <v>32359.365692962871</v>
      </c>
      <c r="P369" s="33" t="str">
        <f t="shared" si="309"/>
        <v>54,631621870174</v>
      </c>
      <c r="Q369" s="4" t="str">
        <f t="shared" si="310"/>
        <v>1+1620,71373903444i</v>
      </c>
      <c r="R369" s="4">
        <f t="shared" si="322"/>
        <v>1620.7140475404647</v>
      </c>
      <c r="S369" s="4">
        <f t="shared" si="323"/>
        <v>1.5701793147655578</v>
      </c>
      <c r="T369" s="4" t="str">
        <f t="shared" si="311"/>
        <v>1+4,0663978214335i</v>
      </c>
      <c r="U369" s="4">
        <f t="shared" si="324"/>
        <v>4.1875519390401736</v>
      </c>
      <c r="V369" s="4">
        <f t="shared" si="325"/>
        <v>1.3296633178952157</v>
      </c>
      <c r="W369" t="str">
        <f t="shared" si="312"/>
        <v>1-0,809078740091003i</v>
      </c>
      <c r="X369" s="4">
        <f t="shared" si="326"/>
        <v>1.2863158273407216</v>
      </c>
      <c r="Y369" s="4">
        <f t="shared" si="327"/>
        <v>-0.68025229542715171</v>
      </c>
      <c r="Z369" t="str">
        <f t="shared" si="313"/>
        <v>0,995811485807796+0,111160875025168i</v>
      </c>
      <c r="AA369" s="4">
        <f t="shared" si="328"/>
        <v>1.0019966344270279</v>
      </c>
      <c r="AB369" s="4">
        <f t="shared" si="329"/>
        <v>0.11116820450824576</v>
      </c>
      <c r="AC369" s="47" t="str">
        <f t="shared" si="330"/>
        <v>0,0929886890158183-0,155530474264165i</v>
      </c>
      <c r="AD369" s="20">
        <f t="shared" si="331"/>
        <v>-14.836414905684611</v>
      </c>
      <c r="AE369" s="43">
        <f t="shared" si="332"/>
        <v>-59.125605992484125</v>
      </c>
      <c r="AF369" t="str">
        <f t="shared" si="314"/>
        <v>171,265703090588</v>
      </c>
      <c r="AG369" t="str">
        <f t="shared" si="315"/>
        <v>1+1605,20348029243i</v>
      </c>
      <c r="AH369">
        <f t="shared" si="333"/>
        <v>1605.2037917793896</v>
      </c>
      <c r="AI369">
        <f t="shared" si="334"/>
        <v>1.5701733528960036</v>
      </c>
      <c r="AJ369" t="str">
        <f t="shared" si="316"/>
        <v>1+4,0663978214335i</v>
      </c>
      <c r="AK369">
        <f t="shared" si="335"/>
        <v>4.1875519390401736</v>
      </c>
      <c r="AL369">
        <f t="shared" si="336"/>
        <v>1.3296633178952157</v>
      </c>
      <c r="AM369" t="str">
        <f t="shared" si="317"/>
        <v>1-0,255615923834626i</v>
      </c>
      <c r="AN369">
        <f t="shared" si="337"/>
        <v>1.032152847459052</v>
      </c>
      <c r="AO369">
        <f t="shared" si="338"/>
        <v>-0.25025721436458681</v>
      </c>
      <c r="AP369" s="41" t="str">
        <f t="shared" si="339"/>
        <v>0,406723254340843-0,217342366627874i</v>
      </c>
      <c r="AQ369">
        <f t="shared" si="340"/>
        <v>-6.7231110684225097</v>
      </c>
      <c r="AR369" s="43">
        <f t="shared" si="341"/>
        <v>-28.118892111880445</v>
      </c>
      <c r="AS369" t="str">
        <f t="shared" si="318"/>
        <v>-0,0000166666666666667</v>
      </c>
      <c r="AT369" t="str">
        <f t="shared" si="319"/>
        <v>0,00030945287421109i</v>
      </c>
      <c r="AU369">
        <f t="shared" si="342"/>
        <v>3.0945287421109001E-4</v>
      </c>
      <c r="AV369">
        <f t="shared" si="343"/>
        <v>1.5707963267948966</v>
      </c>
      <c r="AW369" t="str">
        <f t="shared" si="320"/>
        <v>1+0,969843895650696i</v>
      </c>
      <c r="AX369">
        <f t="shared" si="344"/>
        <v>1.3930531870430927</v>
      </c>
      <c r="AY369">
        <f t="shared" si="345"/>
        <v>0.77009047889819615</v>
      </c>
      <c r="AZ369" t="str">
        <f t="shared" si="321"/>
        <v>1+67,0955640536528i</v>
      </c>
      <c r="BA369">
        <f t="shared" si="346"/>
        <v>67.103015697342727</v>
      </c>
      <c r="BB369">
        <f t="shared" si="347"/>
        <v>1.5558933152507477</v>
      </c>
      <c r="BC369" s="41" t="str">
        <f t="shared" si="348"/>
        <v>-1,83522470678567+1,8337399759243i</v>
      </c>
      <c r="BD369">
        <f t="shared" si="349"/>
        <v>8.280571380097701</v>
      </c>
      <c r="BE369" s="43">
        <f t="shared" si="350"/>
        <v>135.02318605241052</v>
      </c>
      <c r="BF369" s="41" t="str">
        <f t="shared" si="351"/>
        <v>0,114547308599226+0,455950445384787i</v>
      </c>
      <c r="BG369" s="20">
        <f t="shared" si="352"/>
        <v>-6.5558435255869156</v>
      </c>
      <c r="BH369" s="43">
        <f t="shared" si="353"/>
        <v>75.897580059926398</v>
      </c>
      <c r="BI369" s="41" t="str">
        <f t="shared" si="306"/>
        <v>-0,347879179043059+1,14469677168957i</v>
      </c>
      <c r="BJ369" s="20">
        <f t="shared" si="354"/>
        <v>1.5574603116751629</v>
      </c>
      <c r="BK369" s="43">
        <f t="shared" si="307"/>
        <v>106.90429394053014</v>
      </c>
      <c r="BL369">
        <f t="shared" si="355"/>
        <v>-6.5558435255869156</v>
      </c>
      <c r="BM369" s="43">
        <f t="shared" si="356"/>
        <v>75.897580059926398</v>
      </c>
    </row>
    <row r="370" spans="14:65" x14ac:dyDescent="0.25">
      <c r="N370" s="9">
        <v>52</v>
      </c>
      <c r="O370" s="34">
        <f t="shared" si="308"/>
        <v>33113.11214825909</v>
      </c>
      <c r="P370" s="33" t="str">
        <f t="shared" si="309"/>
        <v>54,631621870174</v>
      </c>
      <c r="Q370" s="4" t="str">
        <f t="shared" si="310"/>
        <v>1+1658,46501164708i</v>
      </c>
      <c r="R370" s="4">
        <f t="shared" si="322"/>
        <v>1658.4653131306511</v>
      </c>
      <c r="S370" s="4">
        <f t="shared" si="323"/>
        <v>1.5701933596706055</v>
      </c>
      <c r="T370" s="4" t="str">
        <f t="shared" si="311"/>
        <v>1+4,16111639449862i</v>
      </c>
      <c r="U370" s="4">
        <f t="shared" si="324"/>
        <v>4.2795898925674178</v>
      </c>
      <c r="V370" s="4">
        <f t="shared" si="325"/>
        <v>1.3349486807590871</v>
      </c>
      <c r="W370" t="str">
        <f t="shared" si="312"/>
        <v>1-0,827924604938464i</v>
      </c>
      <c r="X370" s="4">
        <f t="shared" si="326"/>
        <v>1.2982523450633592</v>
      </c>
      <c r="Y370" s="4">
        <f t="shared" si="327"/>
        <v>-0.69153773713504074</v>
      </c>
      <c r="Z370" t="str">
        <f t="shared" si="313"/>
        <v>0,995614087215427+0,113750144429051i</v>
      </c>
      <c r="AA370" s="4">
        <f t="shared" si="328"/>
        <v>1.002091066729685</v>
      </c>
      <c r="AB370" s="4">
        <f t="shared" si="329"/>
        <v>0.11375797759648716</v>
      </c>
      <c r="AC370" s="47" t="str">
        <f t="shared" si="330"/>
        <v>0,0923700610619512-0,15755795337117i</v>
      </c>
      <c r="AD370" s="20">
        <f t="shared" si="331"/>
        <v>-14.768164411540901</v>
      </c>
      <c r="AE370" s="43">
        <f t="shared" si="332"/>
        <v>-59.618572968627824</v>
      </c>
      <c r="AF370" t="str">
        <f t="shared" si="314"/>
        <v>171,265703090588</v>
      </c>
      <c r="AG370" t="str">
        <f t="shared" si="315"/>
        <v>1+1642,59347256792i</v>
      </c>
      <c r="AH370">
        <f t="shared" si="333"/>
        <v>1642.593776964572</v>
      </c>
      <c r="AI370">
        <f t="shared" si="334"/>
        <v>1.5701875335096698</v>
      </c>
      <c r="AJ370" t="str">
        <f t="shared" si="316"/>
        <v>1+4,16111639449862i</v>
      </c>
      <c r="AK370">
        <f t="shared" si="335"/>
        <v>4.2795898925674178</v>
      </c>
      <c r="AL370">
        <f t="shared" si="336"/>
        <v>1.3349486807590871</v>
      </c>
      <c r="AM370" t="str">
        <f t="shared" si="317"/>
        <v>1-0,261569983575343i</v>
      </c>
      <c r="AN370">
        <f t="shared" si="337"/>
        <v>1.0336434860761254</v>
      </c>
      <c r="AO370">
        <f t="shared" si="338"/>
        <v>-0.25583806828797229</v>
      </c>
      <c r="AP370" s="41" t="str">
        <f t="shared" si="339"/>
        <v>0,406720269909978-0,217502714038565i</v>
      </c>
      <c r="AQ370">
        <f t="shared" si="340"/>
        <v>-6.7217369225204191</v>
      </c>
      <c r="AR370" s="43">
        <f t="shared" si="341"/>
        <v>-28.13663499178837</v>
      </c>
      <c r="AS370" t="str">
        <f t="shared" si="318"/>
        <v>-0,0000166666666666667</v>
      </c>
      <c r="AT370" t="str">
        <f t="shared" si="319"/>
        <v>0,000316660957621346i</v>
      </c>
      <c r="AU370">
        <f t="shared" si="342"/>
        <v>3.1666095762134601E-4</v>
      </c>
      <c r="AV370">
        <f t="shared" si="343"/>
        <v>1.5707963267948966</v>
      </c>
      <c r="AW370" t="str">
        <f t="shared" si="320"/>
        <v>1+0,992434462025623i</v>
      </c>
      <c r="AX370">
        <f t="shared" si="344"/>
        <v>1.4088740757839531</v>
      </c>
      <c r="AY370">
        <f t="shared" si="345"/>
        <v>0.78160104898371818</v>
      </c>
      <c r="AZ370" t="str">
        <f t="shared" si="321"/>
        <v>1+68,6584205092272i</v>
      </c>
      <c r="BA370">
        <f t="shared" si="346"/>
        <v>68.665702550996087</v>
      </c>
      <c r="BB370">
        <f t="shared" si="347"/>
        <v>1.5562325006843198</v>
      </c>
      <c r="BC370" s="41" t="str">
        <f t="shared" si="348"/>
        <v>-1,79423898149314+1,8332971261798i</v>
      </c>
      <c r="BD370">
        <f t="shared" si="349"/>
        <v>8.182438376291497</v>
      </c>
      <c r="BE370" s="43">
        <f t="shared" si="350"/>
        <v>134.38311286053687</v>
      </c>
      <c r="BF370" s="41" t="str">
        <f t="shared" si="351"/>
        <v>0,123116578841882+0,45203838927276i</v>
      </c>
      <c r="BG370" s="20">
        <f t="shared" si="352"/>
        <v>-6.5857260352493983</v>
      </c>
      <c r="BH370" s="43">
        <f t="shared" si="353"/>
        <v>74.764539891909124</v>
      </c>
      <c r="BI370" s="41" t="str">
        <f t="shared" ref="BI370:BI433" si="357">IMPRODUCT(AP370,BC370)</f>
        <v>-0,331006262252686+1,13589095009358i</v>
      </c>
      <c r="BJ370" s="20">
        <f t="shared" si="354"/>
        <v>1.4607014537710492</v>
      </c>
      <c r="BK370" s="43">
        <f t="shared" ref="BK370:BK433" si="358">(180/PI())*IMARGUMENT(BI370)</f>
        <v>106.24647786874856</v>
      </c>
      <c r="BL370">
        <f t="shared" si="355"/>
        <v>-6.5857260352493983</v>
      </c>
      <c r="BM370" s="43">
        <f t="shared" si="356"/>
        <v>74.764539891909124</v>
      </c>
    </row>
    <row r="371" spans="14:65" x14ac:dyDescent="0.25">
      <c r="N371" s="9">
        <v>53</v>
      </c>
      <c r="O371" s="34">
        <f t="shared" si="308"/>
        <v>33884.41561392029</v>
      </c>
      <c r="P371" s="33" t="str">
        <f t="shared" si="309"/>
        <v>54,631621870174</v>
      </c>
      <c r="Q371" s="4" t="str">
        <f t="shared" si="310"/>
        <v>1+1697,09562436129i</v>
      </c>
      <c r="R371" s="4">
        <f t="shared" si="322"/>
        <v>1697.0959189822586</v>
      </c>
      <c r="S371" s="4">
        <f t="shared" si="323"/>
        <v>1.5702070848748126</v>
      </c>
      <c r="T371" s="4" t="str">
        <f t="shared" si="311"/>
        <v>1+4,25804124655502i</v>
      </c>
      <c r="U371" s="4">
        <f t="shared" si="324"/>
        <v>4.3738901743601009</v>
      </c>
      <c r="V371" s="4">
        <f t="shared" si="325"/>
        <v>1.3401267405439461</v>
      </c>
      <c r="W371" t="str">
        <f t="shared" si="312"/>
        <v>1-0,847209446370346i</v>
      </c>
      <c r="X371" s="4">
        <f t="shared" si="326"/>
        <v>1.3106349018773871</v>
      </c>
      <c r="Y371" s="4">
        <f t="shared" si="327"/>
        <v>-0.7028717715210695</v>
      </c>
      <c r="Z371" t="str">
        <f t="shared" si="313"/>
        <v>0,995407385514012+0,116399725665172i</v>
      </c>
      <c r="AA371" s="4">
        <f t="shared" si="328"/>
        <v>1.0021899816256239</v>
      </c>
      <c r="AB371" s="4">
        <f t="shared" si="329"/>
        <v>0.11640809604293079</v>
      </c>
      <c r="AC371" s="47" t="str">
        <f t="shared" si="330"/>
        <v>0,0917226060152865-0,159664657914186i</v>
      </c>
      <c r="AD371" s="20">
        <f t="shared" si="331"/>
        <v>-14.697254988870283</v>
      </c>
      <c r="AE371" s="43">
        <f t="shared" si="332"/>
        <v>-60.123911330529623</v>
      </c>
      <c r="AF371" t="str">
        <f t="shared" si="314"/>
        <v>171,265703090588</v>
      </c>
      <c r="AG371" t="str">
        <f t="shared" si="315"/>
        <v>1+1680,85438964487i</v>
      </c>
      <c r="AH371">
        <f t="shared" si="333"/>
        <v>1680.8546871126096</v>
      </c>
      <c r="AI371">
        <f t="shared" si="334"/>
        <v>1.5702013913333968</v>
      </c>
      <c r="AJ371" t="str">
        <f t="shared" si="316"/>
        <v>1+4,25804124655502i</v>
      </c>
      <c r="AK371">
        <f t="shared" si="335"/>
        <v>4.3738901743601009</v>
      </c>
      <c r="AL371">
        <f t="shared" si="336"/>
        <v>1.3401267405439461</v>
      </c>
      <c r="AM371" t="str">
        <f t="shared" si="317"/>
        <v>1-0,267662731183642i</v>
      </c>
      <c r="AN371">
        <f t="shared" si="337"/>
        <v>1.03520207576332</v>
      </c>
      <c r="AO371">
        <f t="shared" si="338"/>
        <v>-0.26153209668087829</v>
      </c>
      <c r="AP371" s="41" t="str">
        <f t="shared" si="339"/>
        <v>0,406717419800532-0,217778384103638i</v>
      </c>
      <c r="AQ371">
        <f t="shared" si="340"/>
        <v>-6.7193351920542197</v>
      </c>
      <c r="AR371" s="43">
        <f t="shared" si="341"/>
        <v>-28.166991810203506</v>
      </c>
      <c r="AS371" t="str">
        <f t="shared" si="318"/>
        <v>-0,0000166666666666667</v>
      </c>
      <c r="AT371" t="str">
        <f t="shared" si="319"/>
        <v>0,000324036938862836i</v>
      </c>
      <c r="AU371">
        <f t="shared" si="342"/>
        <v>3.2403693886283599E-4</v>
      </c>
      <c r="AV371">
        <f t="shared" si="343"/>
        <v>1.5707963267948966</v>
      </c>
      <c r="AW371" t="str">
        <f t="shared" si="320"/>
        <v>1+1,01555123028875i</v>
      </c>
      <c r="AX371">
        <f t="shared" si="344"/>
        <v>1.4252523640888985</v>
      </c>
      <c r="AY371">
        <f t="shared" si="345"/>
        <v>0.79311363173862115</v>
      </c>
      <c r="AZ371" t="str">
        <f t="shared" si="321"/>
        <v>1+70,2576805681578i</v>
      </c>
      <c r="BA371">
        <f t="shared" si="346"/>
        <v>70.264796867402225</v>
      </c>
      <c r="BB371">
        <f t="shared" si="347"/>
        <v>1.5565639685531367</v>
      </c>
      <c r="BC371" s="41" t="str">
        <f t="shared" si="348"/>
        <v>-1,75323892254365+1,83193841001394i</v>
      </c>
      <c r="BD371">
        <f t="shared" si="349"/>
        <v>8.0820050769291534</v>
      </c>
      <c r="BE371" s="43">
        <f t="shared" si="350"/>
        <v>133.74248216731269</v>
      </c>
      <c r="BF371" s="41" t="str">
        <f t="shared" si="351"/>
        <v>0,131684176611597+0,447960457835747i</v>
      </c>
      <c r="BG371" s="20">
        <f t="shared" si="352"/>
        <v>-6.6152499119411274</v>
      </c>
      <c r="BH371" s="43">
        <f t="shared" si="353"/>
        <v>73.618570836783064</v>
      </c>
      <c r="BI371" s="41" t="str">
        <f t="shared" si="357"/>
        <v>-0,314116224160594+1,12689880285352i</v>
      </c>
      <c r="BJ371" s="20">
        <f t="shared" si="354"/>
        <v>1.3626698848749486</v>
      </c>
      <c r="BK371" s="43">
        <f t="shared" si="358"/>
        <v>105.57549035710915</v>
      </c>
      <c r="BL371">
        <f t="shared" si="355"/>
        <v>-6.6152499119411274</v>
      </c>
      <c r="BM371" s="43">
        <f t="shared" si="356"/>
        <v>73.618570836783064</v>
      </c>
    </row>
    <row r="372" spans="14:65" x14ac:dyDescent="0.25">
      <c r="N372" s="9">
        <v>54</v>
      </c>
      <c r="O372" s="34">
        <f t="shared" si="308"/>
        <v>34673.685045253202</v>
      </c>
      <c r="P372" s="33" t="str">
        <f t="shared" si="309"/>
        <v>54,631621870174</v>
      </c>
      <c r="Q372" s="4" t="str">
        <f t="shared" si="310"/>
        <v>1+1736,62605963923i</v>
      </c>
      <c r="R372" s="4">
        <f t="shared" si="322"/>
        <v>1736.6263475538078</v>
      </c>
      <c r="S372" s="4">
        <f t="shared" si="323"/>
        <v>1.5702204976554437</v>
      </c>
      <c r="T372" s="4" t="str">
        <f t="shared" si="311"/>
        <v>1+4,35722376844214i</v>
      </c>
      <c r="U372" s="4">
        <f t="shared" si="324"/>
        <v>4.4705032119748136</v>
      </c>
      <c r="V372" s="4">
        <f t="shared" si="325"/>
        <v>1.345199131550884</v>
      </c>
      <c r="W372" t="str">
        <f t="shared" si="312"/>
        <v>1-0,866943489464829i</v>
      </c>
      <c r="X372" s="4">
        <f t="shared" si="326"/>
        <v>1.3234768656555558</v>
      </c>
      <c r="Y372" s="4">
        <f t="shared" si="327"/>
        <v>-0.71424876104055268</v>
      </c>
      <c r="Z372" t="str">
        <f t="shared" si="313"/>
        <v>0,99519094226153+0,119111023576572i</v>
      </c>
      <c r="AA372" s="4">
        <f t="shared" si="328"/>
        <v>1.0022935934629387</v>
      </c>
      <c r="AB372" s="4">
        <f t="shared" si="329"/>
        <v>0.11911996678472454</v>
      </c>
      <c r="AC372" s="47" t="str">
        <f t="shared" si="330"/>
        <v>0,0910449847771192-0,161851397593288i</v>
      </c>
      <c r="AD372" s="20">
        <f t="shared" si="331"/>
        <v>-14.623689617134247</v>
      </c>
      <c r="AE372" s="43">
        <f t="shared" si="332"/>
        <v>-60.641285460634393</v>
      </c>
      <c r="AF372" t="str">
        <f t="shared" si="314"/>
        <v>171,265703090588</v>
      </c>
      <c r="AG372" t="str">
        <f t="shared" si="315"/>
        <v>1+1720,00651796793i</v>
      </c>
      <c r="AH372">
        <f t="shared" si="333"/>
        <v>1720.0068086644783</v>
      </c>
      <c r="AI372">
        <f t="shared" si="334"/>
        <v>1.5702149337147653</v>
      </c>
      <c r="AJ372" t="str">
        <f t="shared" si="316"/>
        <v>1+4,35722376844214i</v>
      </c>
      <c r="AK372">
        <f t="shared" si="335"/>
        <v>4.4705032119748136</v>
      </c>
      <c r="AL372">
        <f t="shared" si="336"/>
        <v>1.345199131550884</v>
      </c>
      <c r="AM372" t="str">
        <f t="shared" si="317"/>
        <v>1-0,273897397114947i</v>
      </c>
      <c r="AN372">
        <f t="shared" si="337"/>
        <v>1.0368316083850564</v>
      </c>
      <c r="AO372">
        <f t="shared" si="338"/>
        <v>-0.26734084109118939</v>
      </c>
      <c r="AP372" s="41" t="str">
        <f t="shared" si="339"/>
        <v>0,406714697967053-0,218169522997928i</v>
      </c>
      <c r="AQ372">
        <f t="shared" si="340"/>
        <v>-6.7159024919550712</v>
      </c>
      <c r="AR372" s="43">
        <f t="shared" si="341"/>
        <v>-28.209957673743844</v>
      </c>
      <c r="AS372" t="str">
        <f t="shared" si="318"/>
        <v>-0,0000166666666666667</v>
      </c>
      <c r="AT372" t="str">
        <f t="shared" si="319"/>
        <v>0,000331584728778448i</v>
      </c>
      <c r="AU372">
        <f t="shared" si="342"/>
        <v>3.3158472877844802E-4</v>
      </c>
      <c r="AV372">
        <f t="shared" si="343"/>
        <v>1.5707963267948966</v>
      </c>
      <c r="AW372" t="str">
        <f t="shared" si="320"/>
        <v>1+1,03920645725657i</v>
      </c>
      <c r="AX372">
        <f t="shared" si="344"/>
        <v>1.4422031967804507</v>
      </c>
      <c r="AY372">
        <f t="shared" si="345"/>
        <v>0.80462212538322764</v>
      </c>
      <c r="AZ372" t="str">
        <f t="shared" si="321"/>
        <v>1+71,8941921792953i</v>
      </c>
      <c r="BA372">
        <f t="shared" si="346"/>
        <v>71.901146507642324</v>
      </c>
      <c r="BB372">
        <f t="shared" si="347"/>
        <v>1.5568878943143332</v>
      </c>
      <c r="BC372" s="41" t="str">
        <f t="shared" si="348"/>
        <v>-1,71226798244475+1,82966361777747i</v>
      </c>
      <c r="BD372">
        <f t="shared" si="349"/>
        <v>7.9792718094251978</v>
      </c>
      <c r="BE372" s="43">
        <f t="shared" si="350"/>
        <v>133.10165363191598</v>
      </c>
      <c r="BF372" s="41" t="str">
        <f t="shared" si="351"/>
        <v>0,140240201266844+0,443714662240721i</v>
      </c>
      <c r="BG372" s="20">
        <f t="shared" si="352"/>
        <v>-6.6444178077090479</v>
      </c>
      <c r="BH372" s="43">
        <f t="shared" si="353"/>
        <v>72.460368171281615</v>
      </c>
      <c r="BI372" s="41" t="str">
        <f t="shared" si="357"/>
        <v>-0,297227716581498+1,11771577466026i</v>
      </c>
      <c r="BJ372" s="20">
        <f t="shared" si="354"/>
        <v>1.2633693174700906</v>
      </c>
      <c r="BK372" s="43">
        <f t="shared" si="358"/>
        <v>104.89169595817219</v>
      </c>
      <c r="BL372">
        <f t="shared" si="355"/>
        <v>-6.6444178077090479</v>
      </c>
      <c r="BM372" s="43">
        <f t="shared" si="356"/>
        <v>72.460368171281615</v>
      </c>
    </row>
    <row r="373" spans="14:65" x14ac:dyDescent="0.25">
      <c r="N373" s="9">
        <v>55</v>
      </c>
      <c r="O373" s="34">
        <f t="shared" si="308"/>
        <v>35481.33892335758</v>
      </c>
      <c r="P373" s="33" t="str">
        <f t="shared" si="309"/>
        <v>54,631621870174</v>
      </c>
      <c r="Q373" s="4" t="str">
        <f t="shared" si="310"/>
        <v>1+1777,07727704097i</v>
      </c>
      <c r="R373" s="4">
        <f t="shared" si="322"/>
        <v>1777.0775584018131</v>
      </c>
      <c r="S373" s="4">
        <f t="shared" si="323"/>
        <v>1.570233605124113</v>
      </c>
      <c r="T373" s="4" t="str">
        <f t="shared" si="311"/>
        <v>1+4,458716548046i</v>
      </c>
      <c r="U373" s="4">
        <f t="shared" si="324"/>
        <v>4.5694806330500226</v>
      </c>
      <c r="V373" s="4">
        <f t="shared" si="325"/>
        <v>1.3501674986968675</v>
      </c>
      <c r="W373" t="str">
        <f t="shared" si="312"/>
        <v>1-0,887137197472787i</v>
      </c>
      <c r="X373" s="4">
        <f t="shared" si="326"/>
        <v>1.3367918338843452</v>
      </c>
      <c r="Y373" s="4">
        <f t="shared" si="327"/>
        <v>-0.72566295805537551</v>
      </c>
      <c r="Z373" t="str">
        <f t="shared" si="313"/>
        <v>0,994964298352823+0,121885475729295i</v>
      </c>
      <c r="AA373" s="4">
        <f t="shared" si="328"/>
        <v>1.0024021269882073</v>
      </c>
      <c r="AB373" s="4">
        <f t="shared" si="329"/>
        <v>0.121895029594923</v>
      </c>
      <c r="AC373" s="47" t="str">
        <f t="shared" si="330"/>
        <v>0,0903357975692966-0,164119002715675i</v>
      </c>
      <c r="AD373" s="20">
        <f t="shared" si="331"/>
        <v>-14.547472866575688</v>
      </c>
      <c r="AE373" s="43">
        <f t="shared" si="332"/>
        <v>-61.170354697121354</v>
      </c>
      <c r="AF373" t="str">
        <f t="shared" si="314"/>
        <v>171,265703090588</v>
      </c>
      <c r="AG373" t="str">
        <f t="shared" si="315"/>
        <v>1+1760,07061651382i</v>
      </c>
      <c r="AH373">
        <f t="shared" si="333"/>
        <v>1760.0709005933077</v>
      </c>
      <c r="AI373">
        <f t="shared" si="334"/>
        <v>1.570228167834105</v>
      </c>
      <c r="AJ373" t="str">
        <f t="shared" si="316"/>
        <v>1+4,458716548046i</v>
      </c>
      <c r="AK373">
        <f t="shared" si="335"/>
        <v>4.5694806330500226</v>
      </c>
      <c r="AL373">
        <f t="shared" si="336"/>
        <v>1.3501674986968675</v>
      </c>
      <c r="AM373" t="str">
        <f t="shared" si="317"/>
        <v>1-0,280277287071665i</v>
      </c>
      <c r="AN373">
        <f t="shared" si="337"/>
        <v>1.0385351980786459</v>
      </c>
      <c r="AO373">
        <f t="shared" si="338"/>
        <v>-0.27326581278947387</v>
      </c>
      <c r="AP373" s="41" t="str">
        <f t="shared" si="339"/>
        <v>0,406712098636176-0,218676338118643i</v>
      </c>
      <c r="AQ373">
        <f t="shared" si="340"/>
        <v>-6.7114339949370594</v>
      </c>
      <c r="AR373" s="43">
        <f t="shared" si="341"/>
        <v>-28.265525336437474</v>
      </c>
      <c r="AS373" t="str">
        <f t="shared" si="318"/>
        <v>-0,0000166666666666667</v>
      </c>
      <c r="AT373" t="str">
        <f t="shared" si="319"/>
        <v>0,0003393083293063i</v>
      </c>
      <c r="AU373">
        <f t="shared" si="342"/>
        <v>3.3930832930629997E-4</v>
      </c>
      <c r="AV373">
        <f t="shared" si="343"/>
        <v>1.5707963267948966</v>
      </c>
      <c r="AW373" t="str">
        <f t="shared" si="320"/>
        <v>1+1,06341268524356i</v>
      </c>
      <c r="AX373">
        <f t="shared" si="344"/>
        <v>1.4597419426518232</v>
      </c>
      <c r="AY373">
        <f t="shared" si="345"/>
        <v>0.81612043896553477</v>
      </c>
      <c r="AZ373" t="str">
        <f t="shared" si="321"/>
        <v>1+73,568823042759i</v>
      </c>
      <c r="BA373">
        <f t="shared" si="346"/>
        <v>73.575619086058595</v>
      </c>
      <c r="BB373">
        <f t="shared" si="347"/>
        <v>1.5572044494455684</v>
      </c>
      <c r="BC373" s="41" t="str">
        <f t="shared" si="348"/>
        <v>-1,67136949038142+1,82647505076569i</v>
      </c>
      <c r="BD373">
        <f t="shared" si="349"/>
        <v>7.8742413427142397</v>
      </c>
      <c r="BE373" s="43">
        <f t="shared" si="350"/>
        <v>132.46098606513473</v>
      </c>
      <c r="BF373" s="41" t="str">
        <f t="shared" si="351"/>
        <v>0,148774767870133+0,439299574382145i</v>
      </c>
      <c r="BG373" s="20">
        <f t="shared" si="352"/>
        <v>-6.6732315238614426</v>
      </c>
      <c r="BH373" s="43">
        <f t="shared" si="353"/>
        <v>71.290631368013337</v>
      </c>
      <c r="BI373" s="41" t="str">
        <f t="shared" si="357"/>
        <v>-0,280359317263+1,10833846080336i</v>
      </c>
      <c r="BJ373" s="20">
        <f t="shared" si="354"/>
        <v>1.1628073477771719</v>
      </c>
      <c r="BK373" s="43">
        <f t="shared" si="358"/>
        <v>104.19546072869728</v>
      </c>
      <c r="BL373">
        <f t="shared" si="355"/>
        <v>-6.6732315238614426</v>
      </c>
      <c r="BM373" s="43">
        <f t="shared" si="356"/>
        <v>71.290631368013337</v>
      </c>
    </row>
    <row r="374" spans="14:65" x14ac:dyDescent="0.25">
      <c r="N374" s="9">
        <v>56</v>
      </c>
      <c r="O374" s="34">
        <f t="shared" si="308"/>
        <v>36307.805477010232</v>
      </c>
      <c r="P374" s="33" t="str">
        <f t="shared" si="309"/>
        <v>54,631621870174</v>
      </c>
      <c r="Q374" s="4" t="str">
        <f t="shared" si="310"/>
        <v>1+1818,47072433738i</v>
      </c>
      <c r="R374" s="4">
        <f t="shared" si="322"/>
        <v>1818.4709992936694</v>
      </c>
      <c r="S374" s="4">
        <f t="shared" si="323"/>
        <v>1.5702464142305559</v>
      </c>
      <c r="T374" s="4" t="str">
        <f t="shared" si="311"/>
        <v>1+4,5625733981817i</v>
      </c>
      <c r="U374" s="4">
        <f t="shared" si="324"/>
        <v>4.6708752941815206</v>
      </c>
      <c r="V374" s="4">
        <f t="shared" si="325"/>
        <v>1.3550334946933327</v>
      </c>
      <c r="W374" t="str">
        <f t="shared" si="312"/>
        <v>1-0,90780127736549i</v>
      </c>
      <c r="X374" s="4">
        <f t="shared" si="326"/>
        <v>1.350593632143442</v>
      </c>
      <c r="Y374" s="4">
        <f t="shared" si="327"/>
        <v>-0.73710851875210404</v>
      </c>
      <c r="Z374" t="str">
        <f t="shared" si="313"/>
        <v>0,994726973045774+0,124724553174593i</v>
      </c>
      <c r="AA374" s="4">
        <f t="shared" si="328"/>
        <v>1.00251581786494</v>
      </c>
      <c r="AB374" s="4">
        <f t="shared" si="329"/>
        <v>0.12473475784830099</v>
      </c>
      <c r="AC374" s="47" t="str">
        <f t="shared" si="330"/>
        <v>0,0895935812846678-0,16646832309335i</v>
      </c>
      <c r="AD374" s="20">
        <f t="shared" si="331"/>
        <v>-14.468610983677767</v>
      </c>
      <c r="AE374" s="43">
        <f t="shared" si="332"/>
        <v>-61.710774337100666</v>
      </c>
      <c r="AF374" t="str">
        <f t="shared" si="314"/>
        <v>171,265703090588</v>
      </c>
      <c r="AG374" t="str">
        <f t="shared" si="315"/>
        <v>1+1801,06792779785i</v>
      </c>
      <c r="AH374">
        <f t="shared" si="333"/>
        <v>1801.0682054109004</v>
      </c>
      <c r="AI374">
        <f t="shared" si="334"/>
        <v>1.5702411007083026</v>
      </c>
      <c r="AJ374" t="str">
        <f t="shared" si="316"/>
        <v>1+4,5625733981817i</v>
      </c>
      <c r="AK374">
        <f t="shared" si="335"/>
        <v>4.6708752941815206</v>
      </c>
      <c r="AL374">
        <f t="shared" si="336"/>
        <v>1.3550334946933327</v>
      </c>
      <c r="AM374" t="str">
        <f t="shared" si="317"/>
        <v>1-0,286805783755896i</v>
      </c>
      <c r="AN374">
        <f t="shared" si="337"/>
        <v>1.0403160854258833</v>
      </c>
      <c r="AO374">
        <f t="shared" si="338"/>
        <v>-0.2793084886276978</v>
      </c>
      <c r="AP374" s="41" t="str">
        <f t="shared" si="339"/>
        <v>0,406709616294391-0,219299098195382i</v>
      </c>
      <c r="AQ374">
        <f t="shared" si="340"/>
        <v>-6.7059234361944906</v>
      </c>
      <c r="AR374" s="43">
        <f t="shared" si="341"/>
        <v>-28.333685124316816</v>
      </c>
      <c r="AS374" t="str">
        <f t="shared" si="318"/>
        <v>-0,0000166666666666667</v>
      </c>
      <c r="AT374" t="str">
        <f t="shared" si="319"/>
        <v>0,000347211835601628i</v>
      </c>
      <c r="AU374">
        <f t="shared" si="342"/>
        <v>3.4721183560162798E-4</v>
      </c>
      <c r="AV374">
        <f t="shared" si="343"/>
        <v>1.5707963267948966</v>
      </c>
      <c r="AW374" t="str">
        <f t="shared" si="320"/>
        <v>1+1,08818274871219i</v>
      </c>
      <c r="AX374">
        <f t="shared" si="344"/>
        <v>1.477884195258484</v>
      </c>
      <c r="AY374">
        <f t="shared" si="345"/>
        <v>0.82760250844949201</v>
      </c>
      <c r="AZ374" t="str">
        <f t="shared" si="321"/>
        <v>1+75,2824610699981i</v>
      </c>
      <c r="BA374">
        <f t="shared" si="346"/>
        <v>75.289102430270617</v>
      </c>
      <c r="BB374">
        <f t="shared" si="347"/>
        <v>1.5575138015346488</v>
      </c>
      <c r="BC374" s="41" t="str">
        <f t="shared" si="348"/>
        <v>-1,63058646928077+1,82237750204424i</v>
      </c>
      <c r="BD374">
        <f t="shared" si="349"/>
        <v>7.7669188750022933</v>
      </c>
      <c r="BE374" s="43">
        <f t="shared" si="350"/>
        <v>131.82083651271589</v>
      </c>
      <c r="BF374" s="41" t="str">
        <f t="shared" si="351"/>
        <v>0,157278045431167+0,434714322060626i</v>
      </c>
      <c r="BG374" s="20">
        <f t="shared" si="352"/>
        <v>-6.7016921086754824</v>
      </c>
      <c r="BH374" s="43">
        <f t="shared" si="353"/>
        <v>70.110062175615155</v>
      </c>
      <c r="BI374" s="41" t="str">
        <f t="shared" si="357"/>
        <v>-0,263529454486153+1,09876459684281i</v>
      </c>
      <c r="BJ374" s="20">
        <f t="shared" si="354"/>
        <v>1.060995438807814</v>
      </c>
      <c r="BK374" s="43">
        <f t="shared" si="358"/>
        <v>103.48715138839907</v>
      </c>
      <c r="BL374">
        <f t="shared" si="355"/>
        <v>-6.7016921086754824</v>
      </c>
      <c r="BM374" s="43">
        <f t="shared" si="356"/>
        <v>70.110062175615155</v>
      </c>
    </row>
    <row r="375" spans="14:65" x14ac:dyDescent="0.25">
      <c r="N375" s="9">
        <v>57</v>
      </c>
      <c r="O375" s="34">
        <f t="shared" si="308"/>
        <v>37153.522909717351</v>
      </c>
      <c r="P375" s="33" t="str">
        <f t="shared" si="309"/>
        <v>54,631621870174</v>
      </c>
      <c r="Q375" s="4" t="str">
        <f t="shared" si="310"/>
        <v>1+1860,82834888215i</v>
      </c>
      <c r="R375" s="4">
        <f t="shared" si="322"/>
        <v>1860.8286175796707</v>
      </c>
      <c r="S375" s="4">
        <f t="shared" si="323"/>
        <v>1.5702589317663136</v>
      </c>
      <c r="T375" s="4" t="str">
        <f t="shared" si="311"/>
        <v>1+4,66884938512592i</v>
      </c>
      <c r="U375" s="4">
        <f t="shared" si="324"/>
        <v>4.7747413103738596</v>
      </c>
      <c r="V375" s="4">
        <f t="shared" si="325"/>
        <v>1.3597987774022455</v>
      </c>
      <c r="W375" t="str">
        <f t="shared" si="312"/>
        <v>1-0,928946685511623i</v>
      </c>
      <c r="X375" s="4">
        <f t="shared" si="326"/>
        <v>1.3648963127369895</v>
      </c>
      <c r="Y375" s="4">
        <f t="shared" si="327"/>
        <v>-0.74857951765920272</v>
      </c>
      <c r="Z375" t="str">
        <f t="shared" si="313"/>
        <v>0,994478462941588+0,127629761228909i</v>
      </c>
      <c r="AA375" s="4">
        <f t="shared" si="328"/>
        <v>1.0026349132191696</v>
      </c>
      <c r="AB375" s="4">
        <f t="shared" si="329"/>
        <v>0.12764065930466448</v>
      </c>
      <c r="AC375" s="47" t="str">
        <f t="shared" si="330"/>
        <v>0,0888168067340851-0,168900226843142i</v>
      </c>
      <c r="AD375" s="20">
        <f t="shared" si="331"/>
        <v>-14.387111968519207</v>
      </c>
      <c r="AE375" s="43">
        <f t="shared" si="332"/>
        <v>-62.26219666496857</v>
      </c>
      <c r="AF375" t="str">
        <f t="shared" si="314"/>
        <v>171,265703090588</v>
      </c>
      <c r="AG375" t="str">
        <f t="shared" si="315"/>
        <v>1+1843,02018913716i</v>
      </c>
      <c r="AH375">
        <f t="shared" si="333"/>
        <v>1843.020460430967</v>
      </c>
      <c r="AI375">
        <f t="shared" si="334"/>
        <v>1.5702537391945219</v>
      </c>
      <c r="AJ375" t="str">
        <f t="shared" si="316"/>
        <v>1+4,66884938512592i</v>
      </c>
      <c r="AK375">
        <f t="shared" si="335"/>
        <v>4.7747413103738596</v>
      </c>
      <c r="AL375">
        <f t="shared" si="336"/>
        <v>1.3597987774022455</v>
      </c>
      <c r="AM375" t="str">
        <f t="shared" si="317"/>
        <v>1-0,293486348662998i</v>
      </c>
      <c r="AN375">
        <f t="shared" si="337"/>
        <v>1.0421776416962412</v>
      </c>
      <c r="AO375">
        <f t="shared" si="338"/>
        <v>-0.28547030668619616</v>
      </c>
      <c r="AP375" s="41" t="str">
        <f t="shared" si="339"/>
        <v>0,40670724567632-0,220038133432653i</v>
      </c>
      <c r="AQ375">
        <f t="shared" si="340"/>
        <v>-6.6993631195968515</v>
      </c>
      <c r="AR375" s="43">
        <f t="shared" si="341"/>
        <v>-28.414424837708694</v>
      </c>
      <c r="AS375" t="str">
        <f t="shared" si="318"/>
        <v>-0,0000166666666666667</v>
      </c>
      <c r="AT375" t="str">
        <f t="shared" si="319"/>
        <v>0,000355299438208083i</v>
      </c>
      <c r="AU375">
        <f t="shared" si="342"/>
        <v>3.5529943820808299E-4</v>
      </c>
      <c r="AV375">
        <f t="shared" si="343"/>
        <v>1.5707963267948966</v>
      </c>
      <c r="AW375" t="str">
        <f t="shared" si="320"/>
        <v>1+1,11352978107799i</v>
      </c>
      <c r="AX375">
        <f t="shared" si="344"/>
        <v>1.496645774172231</v>
      </c>
      <c r="AY375">
        <f t="shared" si="345"/>
        <v>0.83906231263003872</v>
      </c>
      <c r="AZ375" t="str">
        <f t="shared" si="321"/>
        <v>1+77,0360148545777i</v>
      </c>
      <c r="BA375">
        <f t="shared" si="346"/>
        <v>77.042505051917388</v>
      </c>
      <c r="BB375">
        <f t="shared" si="347"/>
        <v>1.5578161143671743</v>
      </c>
      <c r="BC375" s="41" t="str">
        <f t="shared" si="348"/>
        <v>-1,58996145562205+1,81737822141169i</v>
      </c>
      <c r="BD375">
        <f t="shared" si="349"/>
        <v>7.6573120113225555</v>
      </c>
      <c r="BE375" s="43">
        <f t="shared" si="350"/>
        <v>131.18155934852064</v>
      </c>
      <c r="BF375" s="41" t="str">
        <f t="shared" si="351"/>
        <v>0,165740294537592+0,429958580780274i</v>
      </c>
      <c r="BG375" s="20">
        <f t="shared" si="352"/>
        <v>-6.7297999571966489</v>
      </c>
      <c r="BH375" s="43">
        <f t="shared" si="353"/>
        <v>68.919362683552094</v>
      </c>
      <c r="BI375" s="41" t="str">
        <f t="shared" si="357"/>
        <v>-0,246756332766973+1,08899304170742i</v>
      </c>
      <c r="BJ375" s="20">
        <f t="shared" si="354"/>
        <v>0.95794889172572384</v>
      </c>
      <c r="BK375" s="43">
        <f t="shared" si="358"/>
        <v>102.7671345108119</v>
      </c>
      <c r="BL375">
        <f t="shared" si="355"/>
        <v>-6.7297999571966489</v>
      </c>
      <c r="BM375" s="43">
        <f t="shared" si="356"/>
        <v>68.919362683552094</v>
      </c>
    </row>
    <row r="376" spans="14:65" x14ac:dyDescent="0.25">
      <c r="N376" s="9">
        <v>58</v>
      </c>
      <c r="O376" s="34">
        <f t="shared" si="308"/>
        <v>38018.939632056143</v>
      </c>
      <c r="P376" s="33" t="str">
        <f t="shared" si="309"/>
        <v>54,631621870174</v>
      </c>
      <c r="Q376" s="4" t="str">
        <f t="shared" si="310"/>
        <v>1+1904,17260924847i</v>
      </c>
      <c r="R376" s="4">
        <f t="shared" si="322"/>
        <v>1904.1728718296893</v>
      </c>
      <c r="S376" s="4">
        <f t="shared" si="323"/>
        <v>1.5702711643683334</v>
      </c>
      <c r="T376" s="4" t="str">
        <f t="shared" si="311"/>
        <v>1+4,77760085781366i</v>
      </c>
      <c r="U376" s="4">
        <f t="shared" si="324"/>
        <v>4.881134085085332</v>
      </c>
      <c r="V376" s="4">
        <f t="shared" si="325"/>
        <v>1.3644650073633677</v>
      </c>
      <c r="W376" t="str">
        <f t="shared" si="312"/>
        <v>1-0,950584633486476i</v>
      </c>
      <c r="X376" s="4">
        <f t="shared" si="326"/>
        <v>1.3797141535189881</v>
      </c>
      <c r="Y376" s="4">
        <f t="shared" si="327"/>
        <v>-0.76006996267830118</v>
      </c>
      <c r="Z376" t="str">
        <f t="shared" si="313"/>
        <v>0,994218240917016+0,130602640272009i</v>
      </c>
      <c r="AA376" s="4">
        <f t="shared" si="328"/>
        <v>1.0027596722137093</v>
      </c>
      <c r="AB376" s="4">
        <f t="shared" si="329"/>
        <v>0.13061427690994407</v>
      </c>
      <c r="AC376" s="47" t="str">
        <f t="shared" si="330"/>
        <v>0,0880038757871348-0,17141559908098i</v>
      </c>
      <c r="AD376" s="20">
        <f t="shared" si="331"/>
        <v>-14.302985643469777</v>
      </c>
      <c r="AE376" s="43">
        <f t="shared" si="332"/>
        <v>-62.824272001416766</v>
      </c>
      <c r="AF376" t="str">
        <f t="shared" si="314"/>
        <v>171,265703090588</v>
      </c>
      <c r="AG376" t="str">
        <f t="shared" si="315"/>
        <v>1+1885,94964417601i</v>
      </c>
      <c r="AH376">
        <f t="shared" si="333"/>
        <v>1885.949909294417</v>
      </c>
      <c r="AI376">
        <f t="shared" si="334"/>
        <v>1.5702660899938394</v>
      </c>
      <c r="AJ376" t="str">
        <f t="shared" si="316"/>
        <v>1+4,77760085781366i</v>
      </c>
      <c r="AK376">
        <f t="shared" si="335"/>
        <v>4.881134085085332</v>
      </c>
      <c r="AL376">
        <f t="shared" si="336"/>
        <v>1.3644650073633677</v>
      </c>
      <c r="AM376" t="str">
        <f t="shared" si="317"/>
        <v>1-0,300322523916911i</v>
      </c>
      <c r="AN376">
        <f t="shared" si="337"/>
        <v>1.0441233731565553</v>
      </c>
      <c r="AO376">
        <f t="shared" si="338"/>
        <v>-0.2917526617074292</v>
      </c>
      <c r="AP376" s="41" t="str">
        <f t="shared" si="339"/>
        <v>0,406704981753576-0,220893835685005i</v>
      </c>
      <c r="AQ376">
        <f t="shared" si="340"/>
        <v>-6.6917439254491695</v>
      </c>
      <c r="AR376" s="43">
        <f t="shared" si="341"/>
        <v>-28.50772963149296</v>
      </c>
      <c r="AS376" t="str">
        <f t="shared" si="318"/>
        <v>-0,0000166666666666667</v>
      </c>
      <c r="AT376" t="str">
        <f t="shared" si="319"/>
        <v>0,000363575425279619i</v>
      </c>
      <c r="AU376">
        <f t="shared" si="342"/>
        <v>3.6357542527961902E-4</v>
      </c>
      <c r="AV376">
        <f t="shared" si="343"/>
        <v>1.5707963267948966</v>
      </c>
      <c r="AW376" t="str">
        <f t="shared" si="320"/>
        <v>1+1,13946722167303i</v>
      </c>
      <c r="AX376">
        <f t="shared" si="344"/>
        <v>1.5160427267287864</v>
      </c>
      <c r="AY376">
        <f t="shared" si="345"/>
        <v>0.85049388877340537</v>
      </c>
      <c r="AZ376" t="str">
        <f t="shared" si="321"/>
        <v>1+78,8304141539254i</v>
      </c>
      <c r="BA376">
        <f t="shared" si="346"/>
        <v>78.836756628360874</v>
      </c>
      <c r="BB376">
        <f t="shared" si="347"/>
        <v>1.5581115480122485</v>
      </c>
      <c r="BC376" s="41" t="str">
        <f t="shared" si="348"/>
        <v>-1,54953632358753+1,81148686491247i</v>
      </c>
      <c r="BD376">
        <f t="shared" si="349"/>
        <v>7.5454307310943092</v>
      </c>
      <c r="BE376" s="43">
        <f t="shared" si="350"/>
        <v>130.54350538331218</v>
      </c>
      <c r="BF376" s="41" t="str">
        <f t="shared" si="351"/>
        <v>0,174151904027647+0,425032562255279i</v>
      </c>
      <c r="BG376" s="20">
        <f t="shared" si="352"/>
        <v>-6.7575549123754675</v>
      </c>
      <c r="BH376" s="43">
        <f t="shared" si="353"/>
        <v>67.719233381895393</v>
      </c>
      <c r="BI376" s="41" t="str">
        <f t="shared" si="357"/>
        <v>-0,23005786032765+1,07902375439156i</v>
      </c>
      <c r="BJ376" s="20">
        <f t="shared" si="354"/>
        <v>0.85368680564514587</v>
      </c>
      <c r="BK376" s="43">
        <f t="shared" si="358"/>
        <v>102.03577575181922</v>
      </c>
      <c r="BL376">
        <f t="shared" si="355"/>
        <v>-6.7575549123754675</v>
      </c>
      <c r="BM376" s="43">
        <f t="shared" si="356"/>
        <v>67.719233381895393</v>
      </c>
    </row>
    <row r="377" spans="14:65" x14ac:dyDescent="0.25">
      <c r="N377" s="9">
        <v>59</v>
      </c>
      <c r="O377" s="34">
        <f t="shared" si="308"/>
        <v>38904.514499428085</v>
      </c>
      <c r="P377" s="33" t="str">
        <f t="shared" si="309"/>
        <v>54,631621870174</v>
      </c>
      <c r="Q377" s="4" t="str">
        <f t="shared" si="310"/>
        <v>1+1948,52648713692i</v>
      </c>
      <c r="R377" s="4">
        <f t="shared" si="322"/>
        <v>1948.5267437410616</v>
      </c>
      <c r="S377" s="4">
        <f t="shared" si="323"/>
        <v>1.5702831185224881</v>
      </c>
      <c r="T377" s="4" t="str">
        <f t="shared" si="311"/>
        <v>1+4,88888547771524i</v>
      </c>
      <c r="U377" s="4">
        <f t="shared" si="324"/>
        <v>4.9901103408857583</v>
      </c>
      <c r="V377" s="4">
        <f t="shared" si="325"/>
        <v>1.3690338454863842</v>
      </c>
      <c r="W377" t="str">
        <f t="shared" si="312"/>
        <v>1-0,972726594016481i</v>
      </c>
      <c r="X377" s="4">
        <f t="shared" si="326"/>
        <v>1.3950616569553131</v>
      </c>
      <c r="Y377" s="4">
        <f t="shared" si="327"/>
        <v>-0.77157381053862273</v>
      </c>
      <c r="Z377" t="str">
        <f t="shared" si="313"/>
        <v>0,993945755006255+0,133644766563711i</v>
      </c>
      <c r="AA377" s="4">
        <f t="shared" si="328"/>
        <v>1.002890366652718</v>
      </c>
      <c r="AB377" s="4">
        <f t="shared" si="329"/>
        <v>0.13365718961542117</v>
      </c>
      <c r="AC377" s="47" t="str">
        <f t="shared" si="330"/>
        <v>0,0871531184037854-0,174015340501808i</v>
      </c>
      <c r="AD377" s="20">
        <f t="shared" si="331"/>
        <v>-14.216243712751615</v>
      </c>
      <c r="AE377" s="43">
        <f t="shared" si="332"/>
        <v>-63.39664976827784</v>
      </c>
      <c r="AF377" t="str">
        <f t="shared" si="314"/>
        <v>171,265703090588</v>
      </c>
      <c r="AG377" t="str">
        <f t="shared" si="315"/>
        <v>1+1929,87905467969i</v>
      </c>
      <c r="AH377">
        <f t="shared" si="333"/>
        <v>1929.8793137632658</v>
      </c>
      <c r="AI377">
        <f t="shared" si="334"/>
        <v>1.5702781596547972</v>
      </c>
      <c r="AJ377" t="str">
        <f t="shared" si="316"/>
        <v>1+4,88888547771524i</v>
      </c>
      <c r="AK377">
        <f t="shared" si="335"/>
        <v>4.9901103408857583</v>
      </c>
      <c r="AL377">
        <f t="shared" si="336"/>
        <v>1.3690338454863842</v>
      </c>
      <c r="AM377" t="str">
        <f t="shared" si="317"/>
        <v>1-0,307317934148245i</v>
      </c>
      <c r="AN377">
        <f t="shared" si="337"/>
        <v>1.046156925441468</v>
      </c>
      <c r="AO377">
        <f t="shared" si="338"/>
        <v>-0.29815690031619407</v>
      </c>
      <c r="AP377" s="41" t="str">
        <f t="shared" si="339"/>
        <v>0,406702819724087-0,22186665866483i</v>
      </c>
      <c r="AQ377">
        <f t="shared" si="340"/>
        <v>-6.6830553199045726</v>
      </c>
      <c r="AR377" s="43">
        <f t="shared" si="341"/>
        <v>-28.613581873675589</v>
      </c>
      <c r="AS377" t="str">
        <f t="shared" si="318"/>
        <v>-0,0000166666666666667</v>
      </c>
      <c r="AT377" t="str">
        <f t="shared" si="319"/>
        <v>0,000372044184854129i</v>
      </c>
      <c r="AU377">
        <f t="shared" si="342"/>
        <v>3.72044184854129E-4</v>
      </c>
      <c r="AV377">
        <f t="shared" si="343"/>
        <v>1.5707963267948966</v>
      </c>
      <c r="AW377" t="str">
        <f t="shared" si="320"/>
        <v>1+1,16600882287164i</v>
      </c>
      <c r="AX377">
        <f t="shared" si="344"/>
        <v>1.5360913302972932</v>
      </c>
      <c r="AY377">
        <f t="shared" si="345"/>
        <v>0.86189134788463906</v>
      </c>
      <c r="AZ377" t="str">
        <f t="shared" si="321"/>
        <v>1+80,6666103823015i</v>
      </c>
      <c r="BA377">
        <f t="shared" si="346"/>
        <v>80.672808495614134</v>
      </c>
      <c r="BB377">
        <f t="shared" si="347"/>
        <v>1.5584002589062969</v>
      </c>
      <c r="BC377" s="41" t="str">
        <f t="shared" si="348"/>
        <v>-1,50935211508293+1,80471542949487i</v>
      </c>
      <c r="BD377">
        <f t="shared" si="349"/>
        <v>7.4312873459715014</v>
      </c>
      <c r="BE377" s="43">
        <f t="shared" si="350"/>
        <v>129.9070209947939</v>
      </c>
      <c r="BF377" s="41" t="str">
        <f t="shared" si="351"/>
        <v>0,18250342637359+0,419936999755185i</v>
      </c>
      <c r="BG377" s="20">
        <f t="shared" si="352"/>
        <v>-6.7849563667801149</v>
      </c>
      <c r="BH377" s="43">
        <f t="shared" si="353"/>
        <v>66.510371226516071</v>
      </c>
      <c r="BI377" s="41" t="str">
        <f t="shared" si="357"/>
        <v>-0,213451578977852+1,06885776449727i</v>
      </c>
      <c r="BJ377" s="20">
        <f t="shared" si="354"/>
        <v>0.74823202606689487</v>
      </c>
      <c r="BK377" s="43">
        <f t="shared" si="358"/>
        <v>101.29343912111835</v>
      </c>
      <c r="BL377">
        <f t="shared" si="355"/>
        <v>-6.7849563667801149</v>
      </c>
      <c r="BM377" s="43">
        <f t="shared" si="356"/>
        <v>66.510371226516071</v>
      </c>
    </row>
    <row r="378" spans="14:65" x14ac:dyDescent="0.25">
      <c r="N378" s="9">
        <v>60</v>
      </c>
      <c r="O378" s="34">
        <f t="shared" si="308"/>
        <v>39810.717055349742</v>
      </c>
      <c r="P378" s="33" t="str">
        <f t="shared" si="309"/>
        <v>54,631621870174</v>
      </c>
      <c r="Q378" s="4" t="str">
        <f t="shared" si="310"/>
        <v>1+1993,91349956064i</v>
      </c>
      <c r="R378" s="4">
        <f t="shared" si="322"/>
        <v>1993.9137503237594</v>
      </c>
      <c r="S378" s="4">
        <f t="shared" si="323"/>
        <v>1.5702948005670148</v>
      </c>
      <c r="T378" s="4" t="str">
        <f t="shared" si="311"/>
        <v>1+5,00276224940914i</v>
      </c>
      <c r="U378" s="4">
        <f t="shared" si="324"/>
        <v>5.1017281507459016</v>
      </c>
      <c r="V378" s="4">
        <f t="shared" si="325"/>
        <v>1.3735069509013969</v>
      </c>
      <c r="W378" t="str">
        <f t="shared" si="312"/>
        <v>1-0,995384307062189i</v>
      </c>
      <c r="X378" s="4">
        <f t="shared" si="326"/>
        <v>1.4109535494642176</v>
      </c>
      <c r="Y378" s="4">
        <f t="shared" si="327"/>
        <v>-0.7830849825786389</v>
      </c>
      <c r="Z378" t="str">
        <f t="shared" si="313"/>
        <v>0,993660427230156+0,136757753079642i</v>
      </c>
      <c r="AA378" s="4">
        <f t="shared" si="328"/>
        <v>1.0030272816183061</v>
      </c>
      <c r="AB378" s="4">
        <f t="shared" si="329"/>
        <v>0.13677101321540214</v>
      </c>
      <c r="AC378" s="47" t="str">
        <f t="shared" si="330"/>
        <v>0,0862627895542716-0,176700365835941i</v>
      </c>
      <c r="AD378" s="20">
        <f t="shared" si="331"/>
        <v>-14.126899812479195</v>
      </c>
      <c r="AE378" s="43">
        <f t="shared" si="332"/>
        <v>-63.978979564097031</v>
      </c>
      <c r="AF378" t="str">
        <f t="shared" si="314"/>
        <v>171,265703090588</v>
      </c>
      <c r="AG378" t="str">
        <f t="shared" si="315"/>
        <v>1+1974,83171260313i</v>
      </c>
      <c r="AH378">
        <f t="shared" si="333"/>
        <v>1974.8319657892444</v>
      </c>
      <c r="AI378">
        <f t="shared" si="334"/>
        <v>1.5702899545768756</v>
      </c>
      <c r="AJ378" t="str">
        <f t="shared" si="316"/>
        <v>1+5,00276224940914i</v>
      </c>
      <c r="AK378">
        <f t="shared" si="335"/>
        <v>5.1017281507459016</v>
      </c>
      <c r="AL378">
        <f t="shared" si="336"/>
        <v>1.3735069509013969</v>
      </c>
      <c r="AM378" t="str">
        <f t="shared" si="317"/>
        <v>1-0,314476288416096i</v>
      </c>
      <c r="AN378">
        <f t="shared" si="337"/>
        <v>1.0482820879782138</v>
      </c>
      <c r="AO378">
        <f t="shared" si="338"/>
        <v>-0.30468431602709772</v>
      </c>
      <c r="AP378" s="41" t="str">
        <f t="shared" si="339"/>
        <v>0,406700755001901-0,22295711818296i</v>
      </c>
      <c r="AQ378">
        <f t="shared" si="340"/>
        <v>-6.673285366127832</v>
      </c>
      <c r="AR378" s="43">
        <f t="shared" si="341"/>
        <v>-28.731960982695142</v>
      </c>
      <c r="AS378" t="str">
        <f t="shared" si="318"/>
        <v>-0,0000166666666666667</v>
      </c>
      <c r="AT378" t="str">
        <f t="shared" si="319"/>
        <v>0,000380710207180036i</v>
      </c>
      <c r="AU378">
        <f t="shared" si="342"/>
        <v>3.8071020718003602E-4</v>
      </c>
      <c r="AV378">
        <f t="shared" si="343"/>
        <v>1.5707963267948966</v>
      </c>
      <c r="AW378" t="str">
        <f t="shared" si="320"/>
        <v>1+1,19316865738207i</v>
      </c>
      <c r="AX378">
        <f t="shared" si="344"/>
        <v>1.5568080950968013</v>
      </c>
      <c r="AY378">
        <f t="shared" si="345"/>
        <v>0.87324888950861157</v>
      </c>
      <c r="AZ378" t="str">
        <f t="shared" si="321"/>
        <v>1+82,5455771152508i</v>
      </c>
      <c r="BA378">
        <f t="shared" si="346"/>
        <v>82.551634152752044</v>
      </c>
      <c r="BB378">
        <f t="shared" si="347"/>
        <v>1.5586823999350241</v>
      </c>
      <c r="BC378" s="41" t="str">
        <f t="shared" si="348"/>
        <v>-1,46944887706765+1,79707817357815i</v>
      </c>
      <c r="BD378">
        <f t="shared" si="349"/>
        <v>7.3148964483520418</v>
      </c>
      <c r="BE378" s="43">
        <f t="shared" si="350"/>
        <v>129.27244728426996</v>
      </c>
      <c r="BF378" s="41" t="str">
        <f t="shared" si="351"/>
        <v>0,190785611463796+0,414673130455013i</v>
      </c>
      <c r="BG378" s="20">
        <f t="shared" si="352"/>
        <v>-6.8120033641271593</v>
      </c>
      <c r="BH378" s="43">
        <f t="shared" si="353"/>
        <v>65.293467720172956</v>
      </c>
      <c r="BI378" s="41" t="str">
        <f t="shared" si="357"/>
        <v>-0,196954597009627+1,05849713693986i</v>
      </c>
      <c r="BJ378" s="20">
        <f t="shared" si="354"/>
        <v>0.6416110822242006</v>
      </c>
      <c r="BK378" s="43">
        <f t="shared" si="358"/>
        <v>100.54048630157479</v>
      </c>
      <c r="BL378">
        <f t="shared" si="355"/>
        <v>-6.8120033641271593</v>
      </c>
      <c r="BM378" s="43">
        <f t="shared" si="356"/>
        <v>65.293467720172956</v>
      </c>
    </row>
    <row r="379" spans="14:65" x14ac:dyDescent="0.25">
      <c r="N379" s="9">
        <v>61</v>
      </c>
      <c r="O379" s="34">
        <f t="shared" si="308"/>
        <v>40738.027780411358</v>
      </c>
      <c r="P379" s="33" t="str">
        <f t="shared" si="309"/>
        <v>54,631621870174</v>
      </c>
      <c r="Q379" s="4" t="str">
        <f t="shared" si="310"/>
        <v>1+2040,3577113144i</v>
      </c>
      <c r="R379" s="4">
        <f t="shared" si="322"/>
        <v>2040.3579563694543</v>
      </c>
      <c r="S379" s="4">
        <f t="shared" si="323"/>
        <v>1.5703062166958754</v>
      </c>
      <c r="T379" s="4" t="str">
        <f t="shared" si="311"/>
        <v>1+5,11929155186708i</v>
      </c>
      <c r="U379" s="4">
        <f t="shared" si="324"/>
        <v>5.2160469699780929</v>
      </c>
      <c r="V379" s="4">
        <f t="shared" si="325"/>
        <v>1.3778859789612554</v>
      </c>
      <c r="W379" t="str">
        <f t="shared" si="312"/>
        <v>1-1,01856978604297i</v>
      </c>
      <c r="X379" s="4">
        <f t="shared" si="326"/>
        <v>1.4274047810763497</v>
      </c>
      <c r="Y379" s="4">
        <f t="shared" si="327"/>
        <v>-0.79459738075519337</v>
      </c>
      <c r="Z379" t="str">
        <f t="shared" si="313"/>
        <v>0,99336165237025+0,13994325036646i</v>
      </c>
      <c r="AA379" s="4">
        <f t="shared" si="328"/>
        <v>1.0031707161410179</v>
      </c>
      <c r="AB379" s="4">
        <f t="shared" si="329"/>
        <v>0.13995740120364694</v>
      </c>
      <c r="AC379" s="47" t="str">
        <f t="shared" si="330"/>
        <v>0,0853310660246027-0,179471602172009i</v>
      </c>
      <c r="AD379" s="20">
        <f t="shared" si="331"/>
        <v>-14.03496955088559</v>
      </c>
      <c r="AE379" s="43">
        <f t="shared" si="332"/>
        <v>-64.570912245108076</v>
      </c>
      <c r="AF379" t="str">
        <f t="shared" si="314"/>
        <v>171,265703090588</v>
      </c>
      <c r="AG379" t="str">
        <f t="shared" si="315"/>
        <v>1+2020,83145244058i</v>
      </c>
      <c r="AH379">
        <f t="shared" si="333"/>
        <v>2020.8316998634757</v>
      </c>
      <c r="AI379">
        <f t="shared" si="334"/>
        <v>1.5703014810138849</v>
      </c>
      <c r="AJ379" t="str">
        <f t="shared" si="316"/>
        <v>1+5,11929155186708i</v>
      </c>
      <c r="AK379">
        <f t="shared" si="335"/>
        <v>5.2160469699780929</v>
      </c>
      <c r="AL379">
        <f t="shared" si="336"/>
        <v>1.3778859789612554</v>
      </c>
      <c r="AM379" t="str">
        <f t="shared" si="317"/>
        <v>1-0,321801382174653i</v>
      </c>
      <c r="AN379">
        <f t="shared" si="337"/>
        <v>1.0505027984586794</v>
      </c>
      <c r="AO379">
        <f t="shared" si="338"/>
        <v>-0.31133614404150423</v>
      </c>
      <c r="AP379" s="41" t="str">
        <f t="shared" si="339"/>
        <v>0,406698783207476-0,224165792422202i</v>
      </c>
      <c r="AQ379">
        <f t="shared" si="340"/>
        <v>-6.6624207373228366</v>
      </c>
      <c r="AR379" s="43">
        <f t="shared" si="341"/>
        <v>-28.862843243961748</v>
      </c>
      <c r="AS379" t="str">
        <f t="shared" si="318"/>
        <v>-0,0000166666666666667</v>
      </c>
      <c r="AT379" t="str">
        <f t="shared" si="319"/>
        <v>0,000389578087097086i</v>
      </c>
      <c r="AU379">
        <f t="shared" si="342"/>
        <v>3.8957808709708602E-4</v>
      </c>
      <c r="AV379">
        <f t="shared" si="343"/>
        <v>1.5707963267948966</v>
      </c>
      <c r="AW379" t="str">
        <f t="shared" si="320"/>
        <v>1+1,22096112570811i</v>
      </c>
      <c r="AX379">
        <f t="shared" si="344"/>
        <v>1.5782097675817417</v>
      </c>
      <c r="AY379">
        <f t="shared" si="345"/>
        <v>0.8845608159763183</v>
      </c>
      <c r="AZ379" t="str">
        <f t="shared" si="321"/>
        <v>1+84,4683106058068i</v>
      </c>
      <c r="BA379">
        <f t="shared" si="346"/>
        <v>84.474229778075241</v>
      </c>
      <c r="BB379">
        <f t="shared" si="347"/>
        <v>1.5589581205135599</v>
      </c>
      <c r="BC379" s="41" t="str">
        <f t="shared" si="348"/>
        <v>-1,42986550752524+1,78859152444739i</v>
      </c>
      <c r="BD379">
        <f t="shared" si="349"/>
        <v>7.1962748509945982</v>
      </c>
      <c r="BE379" s="43">
        <f t="shared" si="350"/>
        <v>128.6401192649829</v>
      </c>
      <c r="BF379" s="41" t="str">
        <f t="shared" si="351"/>
        <v>0,198989438494911+0,409242674989713i</v>
      </c>
      <c r="BG379" s="20">
        <f t="shared" si="352"/>
        <v>-6.8386946998909837</v>
      </c>
      <c r="BH379" s="43">
        <f t="shared" si="353"/>
        <v>64.069207019874824</v>
      </c>
      <c r="BI379" s="41" t="str">
        <f t="shared" si="357"/>
        <v>-0,180583525663472+1,04794493119953i</v>
      </c>
      <c r="BJ379" s="20">
        <f t="shared" si="354"/>
        <v>0.53385411367178237</v>
      </c>
      <c r="BK379" s="43">
        <f t="shared" si="358"/>
        <v>99.777276021021152</v>
      </c>
      <c r="BL379">
        <f t="shared" si="355"/>
        <v>-6.8386946998909837</v>
      </c>
      <c r="BM379" s="43">
        <f t="shared" si="356"/>
        <v>64.069207019874824</v>
      </c>
    </row>
    <row r="380" spans="14:65" x14ac:dyDescent="0.25">
      <c r="N380" s="9">
        <v>62</v>
      </c>
      <c r="O380" s="34">
        <f t="shared" si="308"/>
        <v>41686.938347033625</v>
      </c>
      <c r="P380" s="33" t="str">
        <f t="shared" si="309"/>
        <v>54,631621870174</v>
      </c>
      <c r="Q380" s="4" t="str">
        <f t="shared" si="310"/>
        <v>1+2087,88374773403i</v>
      </c>
      <c r="R380" s="4">
        <f t="shared" si="322"/>
        <v>2087.8839872109506</v>
      </c>
      <c r="S380" s="4">
        <f t="shared" si="323"/>
        <v>1.570317372962041</v>
      </c>
      <c r="T380" s="4" t="str">
        <f t="shared" si="311"/>
        <v>1+5,23853517046766i</v>
      </c>
      <c r="U380" s="4">
        <f t="shared" si="324"/>
        <v>5.3331276688474878</v>
      </c>
      <c r="V380" s="4">
        <f t="shared" si="325"/>
        <v>1.3821725793891586</v>
      </c>
      <c r="W380" t="str">
        <f t="shared" si="312"/>
        <v>1-1,04229532420668i</v>
      </c>
      <c r="X380" s="4">
        <f t="shared" si="326"/>
        <v>1.4444305254539271</v>
      </c>
      <c r="Y380" s="4">
        <f t="shared" si="327"/>
        <v>-0.80610490377757194</v>
      </c>
      <c r="Z380" t="str">
        <f t="shared" si="313"/>
        <v>0,993048796685002+0,14320294741699i</v>
      </c>
      <c r="AA380" s="4">
        <f t="shared" si="328"/>
        <v>1.0033209839061694</v>
      </c>
      <c r="AB380" s="4">
        <f t="shared" si="329"/>
        <v>0.14321804564884694</v>
      </c>
      <c r="AC380" s="47" t="str">
        <f t="shared" si="330"/>
        <v>0,0843560431052686-0,182329987136029i</v>
      </c>
      <c r="AD380" s="20">
        <f t="shared" si="331"/>
        <v>-13.940470538535605</v>
      </c>
      <c r="AE380" s="43">
        <f t="shared" si="332"/>
        <v>-65.172101006131271</v>
      </c>
      <c r="AF380" t="str">
        <f t="shared" si="314"/>
        <v>171,265703090588</v>
      </c>
      <c r="AG380" t="str">
        <f t="shared" si="315"/>
        <v>1+2067,90266386299i</v>
      </c>
      <c r="AH380">
        <f t="shared" si="333"/>
        <v>2067.9029056538534</v>
      </c>
      <c r="AI380">
        <f t="shared" si="334"/>
        <v>1.5703127450772825</v>
      </c>
      <c r="AJ380" t="str">
        <f t="shared" si="316"/>
        <v>1+5,23853517046766i</v>
      </c>
      <c r="AK380">
        <f t="shared" si="335"/>
        <v>5.3331276688474878</v>
      </c>
      <c r="AL380">
        <f t="shared" si="336"/>
        <v>1.3821725793891586</v>
      </c>
      <c r="AM380" t="str">
        <f t="shared" si="317"/>
        <v>1-0,329297099285584i</v>
      </c>
      <c r="AN380">
        <f t="shared" si="337"/>
        <v>1.0528231473509213</v>
      </c>
      <c r="AO380">
        <f t="shared" si="338"/>
        <v>-0.31811355583755596</v>
      </c>
      <c r="AP380" s="41" t="str">
        <f t="shared" si="339"/>
        <v>0,406696900158375-0,225493322243917i</v>
      </c>
      <c r="AQ380">
        <f t="shared" si="340"/>
        <v>-6.6504467317519769</v>
      </c>
      <c r="AR380" s="43">
        <f t="shared" si="341"/>
        <v>-29.006201606212798</v>
      </c>
      <c r="AS380" t="str">
        <f t="shared" si="318"/>
        <v>-0,0000166666666666667</v>
      </c>
      <c r="AT380" t="str">
        <f t="shared" si="319"/>
        <v>0,000398652526472589i</v>
      </c>
      <c r="AU380">
        <f t="shared" si="342"/>
        <v>3.9865252647258898E-4</v>
      </c>
      <c r="AV380">
        <f t="shared" si="343"/>
        <v>1.5707963267948966</v>
      </c>
      <c r="AW380" t="str">
        <f t="shared" si="320"/>
        <v>1+1,24940096378434i</v>
      </c>
      <c r="AX380">
        <f t="shared" si="344"/>
        <v>1.6003133344146192</v>
      </c>
      <c r="AY380">
        <f t="shared" si="345"/>
        <v>0.89582154601448671</v>
      </c>
      <c r="AZ380" t="str">
        <f t="shared" si="321"/>
        <v>1+86,4358303127164i</v>
      </c>
      <c r="BA380">
        <f t="shared" si="346"/>
        <v>86.441614757295596</v>
      </c>
      <c r="BB380">
        <f t="shared" si="347"/>
        <v>1.5592275666648221</v>
      </c>
      <c r="BC380" s="41" t="str">
        <f t="shared" si="348"/>
        <v>-1,39063961127816+1,77927397353287i</v>
      </c>
      <c r="BD380">
        <f t="shared" si="349"/>
        <v>7.0754415182635455</v>
      </c>
      <c r="BE380" s="43">
        <f t="shared" si="350"/>
        <v>128.01036508683308</v>
      </c>
      <c r="BF380" s="41" t="str">
        <f t="shared" si="351"/>
        <v>0,207106145712845+0,403647814442621i</v>
      </c>
      <c r="BG380" s="20">
        <f t="shared" si="352"/>
        <v>-6.8650290202720523</v>
      </c>
      <c r="BH380" s="43">
        <f t="shared" si="353"/>
        <v>62.838264080701819</v>
      </c>
      <c r="BI380" s="41" t="str">
        <f t="shared" si="357"/>
        <v>-0,164354419670213+1,03720515555939i</v>
      </c>
      <c r="BJ380" s="20">
        <f t="shared" si="354"/>
        <v>0.42499478651153244</v>
      </c>
      <c r="BK380" s="43">
        <f t="shared" si="358"/>
        <v>99.004163480620306</v>
      </c>
      <c r="BL380">
        <f t="shared" si="355"/>
        <v>-6.8650290202720523</v>
      </c>
      <c r="BM380" s="43">
        <f t="shared" si="356"/>
        <v>62.838264080701819</v>
      </c>
    </row>
    <row r="381" spans="14:65" x14ac:dyDescent="0.25">
      <c r="N381" s="9">
        <v>63</v>
      </c>
      <c r="O381" s="34">
        <f t="shared" si="308"/>
        <v>42657.951880159271</v>
      </c>
      <c r="P381" s="33" t="str">
        <f t="shared" si="309"/>
        <v>54,631621870174</v>
      </c>
      <c r="Q381" s="4" t="str">
        <f t="shared" si="310"/>
        <v>1+2136,51680775311i</v>
      </c>
      <c r="R381" s="4">
        <f t="shared" si="322"/>
        <v>2136.5170417788713</v>
      </c>
      <c r="S381" s="4">
        <f t="shared" si="323"/>
        <v>1.5703282752806997</v>
      </c>
      <c r="T381" s="4" t="str">
        <f t="shared" si="311"/>
        <v>1+5,36055632975582i</v>
      </c>
      <c r="U381" s="4">
        <f t="shared" si="324"/>
        <v>5.4530325658742571</v>
      </c>
      <c r="V381" s="4">
        <f t="shared" si="325"/>
        <v>1.3863683945650072</v>
      </c>
      <c r="W381" t="str">
        <f t="shared" si="312"/>
        <v>1-1,0665735011477i</v>
      </c>
      <c r="X381" s="4">
        <f t="shared" si="326"/>
        <v>1.4620461803070595</v>
      </c>
      <c r="Y381" s="4">
        <f t="shared" si="327"/>
        <v>-0.81760146326253902</v>
      </c>
      <c r="Z381" t="str">
        <f t="shared" si="313"/>
        <v>0,99272119656556+0,146538572565755i</v>
      </c>
      <c r="AA381" s="4">
        <f t="shared" si="328"/>
        <v>1.0034784139981121</v>
      </c>
      <c r="AB381" s="4">
        <f t="shared" si="329"/>
        <v>0.14655467808945805</v>
      </c>
      <c r="AC381" s="47" t="str">
        <f t="shared" si="330"/>
        <v>0,0833357311608381-0,185276466915374i</v>
      </c>
      <c r="AD381" s="20">
        <f t="shared" si="331"/>
        <v>-13.843422408428376</v>
      </c>
      <c r="AE381" s="43">
        <f t="shared" si="332"/>
        <v>-65.782202455827488</v>
      </c>
      <c r="AF381" t="str">
        <f t="shared" si="314"/>
        <v>171,265703090588</v>
      </c>
      <c r="AG381" t="str">
        <f t="shared" si="315"/>
        <v>1+2116,0703046497i</v>
      </c>
      <c r="AH381">
        <f t="shared" si="333"/>
        <v>2116.0705409367324</v>
      </c>
      <c r="AI381">
        <f t="shared" si="334"/>
        <v>1.5703237527394125</v>
      </c>
      <c r="AJ381" t="str">
        <f t="shared" si="316"/>
        <v>1+5,36055632975582i</v>
      </c>
      <c r="AK381">
        <f t="shared" si="335"/>
        <v>5.4530325658742571</v>
      </c>
      <c r="AL381">
        <f t="shared" si="336"/>
        <v>1.3863683945650072</v>
      </c>
      <c r="AM381" t="str">
        <f t="shared" si="317"/>
        <v>1-0,336967414077318i</v>
      </c>
      <c r="AN381">
        <f t="shared" si="337"/>
        <v>1.0552473824416504</v>
      </c>
      <c r="AO381">
        <f t="shared" si="338"/>
        <v>-0.32501765355858958</v>
      </c>
      <c r="AP381" s="41" t="str">
        <f t="shared" si="339"/>
        <v>0,406695101860406-0,226940411527852i</v>
      </c>
      <c r="AQ381">
        <f t="shared" si="340"/>
        <v>-6.6373472898849153</v>
      </c>
      <c r="AR381" s="43">
        <f t="shared" si="341"/>
        <v>-29.162005458363165</v>
      </c>
      <c r="AS381" t="str">
        <f t="shared" si="318"/>
        <v>-0,0000166666666666667</v>
      </c>
      <c r="AT381" t="str">
        <f t="shared" si="319"/>
        <v>0,000407938336694417i</v>
      </c>
      <c r="AU381">
        <f t="shared" si="342"/>
        <v>4.0793833669441703E-4</v>
      </c>
      <c r="AV381">
        <f t="shared" si="343"/>
        <v>1.5707963267948966</v>
      </c>
      <c r="AW381" t="str">
        <f t="shared" si="320"/>
        <v>1+1,27850325078933i</v>
      </c>
      <c r="AX381">
        <f t="shared" si="344"/>
        <v>1.6231360270411364</v>
      </c>
      <c r="AY381">
        <f t="shared" si="345"/>
        <v>0.90702562764398242</v>
      </c>
      <c r="AZ381" t="str">
        <f t="shared" si="321"/>
        <v>1+88,449179440971i</v>
      </c>
      <c r="BA381">
        <f t="shared" si="346"/>
        <v>88.45483222402882</v>
      </c>
      <c r="BB381">
        <f t="shared" si="347"/>
        <v>1.5594908810961399</v>
      </c>
      <c r="BC381" s="41" t="str">
        <f t="shared" si="348"/>
        <v>-1,35180736670711+1,76914596074979i</v>
      </c>
      <c r="BD381">
        <f t="shared" si="349"/>
        <v>6.9524174895842563</v>
      </c>
      <c r="BE381" s="43">
        <f t="shared" si="350"/>
        <v>127.3835053017422</v>
      </c>
      <c r="BF381" s="41" t="str">
        <f t="shared" si="351"/>
        <v>0,215127257772182+0,397891165022996i</v>
      </c>
      <c r="BG381" s="20">
        <f t="shared" si="352"/>
        <v>-6.891004918844116</v>
      </c>
      <c r="BH381" s="43">
        <f t="shared" si="353"/>
        <v>61.601302845914716</v>
      </c>
      <c r="BI381" s="41" t="str">
        <f t="shared" si="357"/>
        <v>-0,148282722313201+1,02628271681996i</v>
      </c>
      <c r="BJ381" s="20">
        <f t="shared" si="354"/>
        <v>0.31507019969938016</v>
      </c>
      <c r="BK381" s="43">
        <f t="shared" si="358"/>
        <v>98.221499843379007</v>
      </c>
      <c r="BL381">
        <f t="shared" si="355"/>
        <v>-6.891004918844116</v>
      </c>
      <c r="BM381" s="43">
        <f t="shared" si="356"/>
        <v>61.601302845914716</v>
      </c>
    </row>
    <row r="382" spans="14:65" x14ac:dyDescent="0.25">
      <c r="N382" s="9">
        <v>64</v>
      </c>
      <c r="O382" s="34">
        <f t="shared" si="308"/>
        <v>43651.583224016598</v>
      </c>
      <c r="P382" s="33" t="str">
        <f t="shared" si="309"/>
        <v>54,631621870174</v>
      </c>
      <c r="Q382" s="4" t="str">
        <f t="shared" si="310"/>
        <v>1+2186,2826772638i</v>
      </c>
      <c r="R382" s="4">
        <f t="shared" si="322"/>
        <v>2186.2829059624851</v>
      </c>
      <c r="S382" s="4">
        <f t="shared" si="323"/>
        <v>1.5703389294323955</v>
      </c>
      <c r="T382" s="4" t="str">
        <f t="shared" si="311"/>
        <v>1+5,48541972696536i</v>
      </c>
      <c r="U382" s="4">
        <f t="shared" si="324"/>
        <v>5.5758254618469483</v>
      </c>
      <c r="V382" s="4">
        <f t="shared" si="325"/>
        <v>1.3904750579440359</v>
      </c>
      <c r="W382" t="str">
        <f t="shared" si="312"/>
        <v>1-1,09141718947678i</v>
      </c>
      <c r="X382" s="4">
        <f t="shared" si="326"/>
        <v>1.4802673682431133</v>
      </c>
      <c r="Y382" s="4">
        <f t="shared" si="327"/>
        <v>-0.82908099980608585</v>
      </c>
      <c r="Z382" t="str">
        <f t="shared" si="313"/>
        <v>0,992378157128147+0,149951894405361i</v>
      </c>
      <c r="AA382" s="4">
        <f t="shared" si="328"/>
        <v>1.0036433516846577</v>
      </c>
      <c r="AB382" s="4">
        <f t="shared" si="329"/>
        <v>0.149969070448148</v>
      </c>
      <c r="AC382" s="47" t="str">
        <f t="shared" si="330"/>
        <v>0,0822680520783877-0,188311994115711i</v>
      </c>
      <c r="AD382" s="20">
        <f t="shared" si="331"/>
        <v>-13.743846825988319</v>
      </c>
      <c r="AE382" s="43">
        <f t="shared" si="332"/>
        <v>-66.400877680720711</v>
      </c>
      <c r="AF382" t="str">
        <f t="shared" si="314"/>
        <v>171,265703090588</v>
      </c>
      <c r="AG382" t="str">
        <f t="shared" si="315"/>
        <v>1+2165,35991392144i</v>
      </c>
      <c r="AH382">
        <f t="shared" si="333"/>
        <v>2165.3601448299228</v>
      </c>
      <c r="AI382">
        <f t="shared" si="334"/>
        <v>1.5703345098366721</v>
      </c>
      <c r="AJ382" t="str">
        <f t="shared" si="316"/>
        <v>1+5,48541972696536i</v>
      </c>
      <c r="AK382">
        <f t="shared" si="335"/>
        <v>5.5758254618469483</v>
      </c>
      <c r="AL382">
        <f t="shared" si="336"/>
        <v>1.3904750579440359</v>
      </c>
      <c r="AM382" t="str">
        <f t="shared" si="317"/>
        <v>1-0,344816393452286i</v>
      </c>
      <c r="AN382">
        <f t="shared" si="337"/>
        <v>1.0577799134004398</v>
      </c>
      <c r="AO382">
        <f t="shared" si="338"/>
        <v>-0.33204946420696946</v>
      </c>
      <c r="AP382" s="41" t="str">
        <f t="shared" si="339"/>
        <v>0,406693384499143-0,228507827545372i</v>
      </c>
      <c r="AQ382">
        <f t="shared" si="340"/>
        <v>-6.6231050138276597</v>
      </c>
      <c r="AR382" s="43">
        <f t="shared" si="341"/>
        <v>-29.330220387623875</v>
      </c>
      <c r="AS382" t="str">
        <f t="shared" si="318"/>
        <v>-0,0000166666666666667</v>
      </c>
      <c r="AT382" t="str">
        <f t="shared" si="319"/>
        <v>0,000417440441222064i</v>
      </c>
      <c r="AU382">
        <f t="shared" si="342"/>
        <v>4.1744044122206403E-4</v>
      </c>
      <c r="AV382">
        <f t="shared" si="343"/>
        <v>1.5707963267948966</v>
      </c>
      <c r="AW382" t="str">
        <f t="shared" si="320"/>
        <v>1+1,30828341714088i</v>
      </c>
      <c r="AX382">
        <f t="shared" si="344"/>
        <v>1.6466953268792068</v>
      </c>
      <c r="AY382">
        <f t="shared" si="345"/>
        <v>0.91816775030028153</v>
      </c>
      <c r="AZ382" t="str">
        <f t="shared" si="321"/>
        <v>1+90,5094254949285i</v>
      </c>
      <c r="BA382">
        <f t="shared" si="346"/>
        <v>90.514949612878937</v>
      </c>
      <c r="BB382">
        <f t="shared" si="347"/>
        <v>1.5597482032741719</v>
      </c>
      <c r="BC382" s="41" t="str">
        <f t="shared" si="348"/>
        <v>-1,31340340428154+1,7582297491716i</v>
      </c>
      <c r="BD382">
        <f t="shared" si="349"/>
        <v>6.8272257957470686</v>
      </c>
      <c r="BE382" s="43">
        <f t="shared" si="350"/>
        <v>126.75985217349573</v>
      </c>
      <c r="BF382" s="41" t="str">
        <f t="shared" si="351"/>
        <v>0,223044610516705+0,39197575070924i</v>
      </c>
      <c r="BG382" s="20">
        <f t="shared" si="352"/>
        <v>-6.9166210302412505</v>
      </c>
      <c r="BH382" s="43">
        <f t="shared" si="353"/>
        <v>60.358974492775026</v>
      </c>
      <c r="BI382" s="41" t="str">
        <f t="shared" si="357"/>
        <v>-0,132383215391109+1,01518336602075i</v>
      </c>
      <c r="BJ382" s="20">
        <f t="shared" si="354"/>
        <v>0.20412078191942737</v>
      </c>
      <c r="BK382" s="43">
        <f t="shared" si="358"/>
        <v>97.429631785871834</v>
      </c>
      <c r="BL382">
        <f t="shared" si="355"/>
        <v>-6.9166210302412505</v>
      </c>
      <c r="BM382" s="43">
        <f t="shared" si="356"/>
        <v>60.358974492775026</v>
      </c>
    </row>
    <row r="383" spans="14:65" x14ac:dyDescent="0.25">
      <c r="N383" s="9">
        <v>65</v>
      </c>
      <c r="O383" s="34">
        <f t="shared" si="308"/>
        <v>44668.359215096389</v>
      </c>
      <c r="P383" s="33" t="str">
        <f t="shared" si="309"/>
        <v>54,631621870174</v>
      </c>
      <c r="Q383" s="4" t="str">
        <f t="shared" si="310"/>
        <v>1+2237,20774278886i</v>
      </c>
      <c r="R383" s="4">
        <f t="shared" si="322"/>
        <v>2237.2079662817282</v>
      </c>
      <c r="S383" s="4">
        <f t="shared" si="323"/>
        <v>1.5703493410660905</v>
      </c>
      <c r="T383" s="4" t="str">
        <f t="shared" si="311"/>
        <v>1+5,61319156632228i</v>
      </c>
      <c r="U383" s="4">
        <f t="shared" si="324"/>
        <v>5.7015716745675995</v>
      </c>
      <c r="V383" s="4">
        <f t="shared" si="325"/>
        <v>1.3944941926013334</v>
      </c>
      <c r="W383" t="str">
        <f t="shared" si="312"/>
        <v>1-1,11683956164635i</v>
      </c>
      <c r="X383" s="4">
        <f t="shared" si="326"/>
        <v>1.4991099380827315</v>
      </c>
      <c r="Y383" s="4">
        <f t="shared" si="327"/>
        <v>-0.84053749886870222</v>
      </c>
      <c r="Z383" t="str">
        <f t="shared" si="313"/>
        <v>0,992018950740124+0,15344472272423i</v>
      </c>
      <c r="AA383" s="4">
        <f t="shared" si="328"/>
        <v>1.0038161592440382</v>
      </c>
      <c r="AB383" s="4">
        <f t="shared" si="329"/>
        <v>0.15346303596611777</v>
      </c>
      <c r="AC383" s="47" t="str">
        <f t="shared" si="330"/>
        <v>0,0811508355929235-0,191437525438204i</v>
      </c>
      <c r="AD383" s="20">
        <f t="shared" si="331"/>
        <v>-13.641767489041445</v>
      </c>
      <c r="AE383" s="43">
        <f t="shared" si="332"/>
        <v>-67.027793292458838</v>
      </c>
      <c r="AF383" t="str">
        <f t="shared" si="314"/>
        <v>171,265703090588</v>
      </c>
      <c r="AG383" t="str">
        <f t="shared" si="315"/>
        <v>1+2215,79762568147i</v>
      </c>
      <c r="AH383">
        <f t="shared" si="333"/>
        <v>2215.7978513338353</v>
      </c>
      <c r="AI383">
        <f t="shared" si="334"/>
        <v>1.5703450220726072</v>
      </c>
      <c r="AJ383" t="str">
        <f t="shared" si="316"/>
        <v>1+5,61319156632228i</v>
      </c>
      <c r="AK383">
        <f t="shared" si="335"/>
        <v>5.7015716745675995</v>
      </c>
      <c r="AL383">
        <f t="shared" si="336"/>
        <v>1.3944941926013334</v>
      </c>
      <c r="AM383" t="str">
        <f t="shared" si="317"/>
        <v>1-0,352848199043248i</v>
      </c>
      <c r="AN383">
        <f t="shared" si="337"/>
        <v>1.0604253163556892</v>
      </c>
      <c r="AO383">
        <f t="shared" si="338"/>
        <v>-0.33920993365232216</v>
      </c>
      <c r="AP383" s="41" t="str">
        <f t="shared" si="339"/>
        <v>0,406691744431838-0,230196401366307i</v>
      </c>
      <c r="AQ383">
        <f t="shared" si="340"/>
        <v>-6.6077011891911477</v>
      </c>
      <c r="AR383" s="43">
        <f t="shared" si="341"/>
        <v>-29.510807919769423</v>
      </c>
      <c r="AS383" t="str">
        <f t="shared" si="318"/>
        <v>-0,0000166666666666667</v>
      </c>
      <c r="AT383" t="str">
        <f t="shared" si="319"/>
        <v>0,000427163878197125i</v>
      </c>
      <c r="AU383">
        <f t="shared" si="342"/>
        <v>4.2716387819712498E-4</v>
      </c>
      <c r="AV383">
        <f t="shared" si="343"/>
        <v>1.5707963267948966</v>
      </c>
      <c r="AW383" t="str">
        <f t="shared" si="320"/>
        <v>1+1,33875725267739i</v>
      </c>
      <c r="AX383">
        <f t="shared" si="344"/>
        <v>1.6710089711298122</v>
      </c>
      <c r="AY383">
        <f t="shared" si="345"/>
        <v>0.92924275611774543</v>
      </c>
      <c r="AZ383" t="str">
        <f t="shared" si="321"/>
        <v>1+92,6176608443176i</v>
      </c>
      <c r="BA383">
        <f t="shared" si="346"/>
        <v>92.623059225405868</v>
      </c>
      <c r="BB383">
        <f t="shared" si="347"/>
        <v>1.5599996694981568</v>
      </c>
      <c r="BC383" s="41" t="str">
        <f t="shared" si="348"/>
        <v>-1,27546069764413+1,74654929138662i</v>
      </c>
      <c r="BD383">
        <f t="shared" si="349"/>
        <v>6.6998913687454307</v>
      </c>
      <c r="BE383" s="43">
        <f t="shared" si="350"/>
        <v>126.13970903539654</v>
      </c>
      <c r="BF383" s="41" t="str">
        <f t="shared" si="351"/>
        <v>0,230850373019149+0,38590497415093i</v>
      </c>
      <c r="BG383" s="20">
        <f t="shared" si="352"/>
        <v>-6.94187612029602</v>
      </c>
      <c r="BH383" s="43">
        <f t="shared" si="353"/>
        <v>59.111915742937676</v>
      </c>
      <c r="BI383" s="41" t="str">
        <f t="shared" si="357"/>
        <v>-0,116669974393067+1,00391364073205i</v>
      </c>
      <c r="BJ383" s="20">
        <f t="shared" si="354"/>
        <v>9.2190179554258192E-2</v>
      </c>
      <c r="BK383" s="43">
        <f t="shared" si="358"/>
        <v>96.628901115627144</v>
      </c>
      <c r="BL383">
        <f t="shared" si="355"/>
        <v>-6.94187612029602</v>
      </c>
      <c r="BM383" s="43">
        <f t="shared" si="356"/>
        <v>59.111915742937676</v>
      </c>
    </row>
    <row r="384" spans="14:65" x14ac:dyDescent="0.25">
      <c r="N384" s="9">
        <v>66</v>
      </c>
      <c r="O384" s="34">
        <f t="shared" ref="O384:O418" si="359">10^(4+(N384/100))</f>
        <v>45708.818961487581</v>
      </c>
      <c r="P384" s="33" t="str">
        <f t="shared" si="309"/>
        <v>54,631621870174</v>
      </c>
      <c r="Q384" s="4" t="str">
        <f t="shared" si="310"/>
        <v>1+2289,31900547208i</v>
      </c>
      <c r="R384" s="4">
        <f t="shared" si="322"/>
        <v>2289.3192238776296</v>
      </c>
      <c r="S384" s="4">
        <f t="shared" si="323"/>
        <v>1.5703595157021619</v>
      </c>
      <c r="T384" s="4" t="str">
        <f t="shared" si="311"/>
        <v>1+5,743939594147i</v>
      </c>
      <c r="U384" s="4">
        <f t="shared" si="324"/>
        <v>5.8303380743495143</v>
      </c>
      <c r="V384" s="4">
        <f t="shared" si="325"/>
        <v>1.398427409895977</v>
      </c>
      <c r="W384" t="str">
        <f t="shared" si="312"/>
        <v>1-1,14285409693462i</v>
      </c>
      <c r="X384" s="4">
        <f t="shared" si="326"/>
        <v>1.5185899666731126</v>
      </c>
      <c r="Y384" s="4">
        <f t="shared" si="327"/>
        <v>-0.8519650063730162</v>
      </c>
      <c r="Z384" t="str">
        <f t="shared" si="313"/>
        <v>0,991642815476584+0,157018909466168i</v>
      </c>
      <c r="AA384" s="4">
        <f t="shared" si="328"/>
        <v>1.0039972168369149</v>
      </c>
      <c r="AB384" s="4">
        <f t="shared" si="329"/>
        <v>0.15703843015752234</v>
      </c>
      <c r="AC384" s="47" t="str">
        <f t="shared" si="330"/>
        <v>0,079981815488264-0,194654019163333i</v>
      </c>
      <c r="AD384" s="20">
        <f t="shared" si="331"/>
        <v>-13.537210117974116</v>
      </c>
      <c r="AE384" s="43">
        <f t="shared" si="332"/>
        <v>-67.662622452887263</v>
      </c>
      <c r="AF384" t="str">
        <f t="shared" si="314"/>
        <v>171,265703090588</v>
      </c>
      <c r="AG384" t="str">
        <f t="shared" si="315"/>
        <v>1+2267,41018267217i</v>
      </c>
      <c r="AH384">
        <f t="shared" si="333"/>
        <v>2267.4104031880602</v>
      </c>
      <c r="AI384">
        <f t="shared" si="334"/>
        <v>1.5703552950209345</v>
      </c>
      <c r="AJ384" t="str">
        <f t="shared" si="316"/>
        <v>1+5,743939594147i</v>
      </c>
      <c r="AK384">
        <f t="shared" si="335"/>
        <v>5.8303380743495143</v>
      </c>
      <c r="AL384">
        <f t="shared" si="336"/>
        <v>1.398427409895977</v>
      </c>
      <c r="AM384" t="str">
        <f t="shared" si="317"/>
        <v>1-0,36106708941984i</v>
      </c>
      <c r="AN384">
        <f t="shared" si="337"/>
        <v>1.0631883384716532</v>
      </c>
      <c r="AO384">
        <f t="shared" si="338"/>
        <v>-0.34649992046521277</v>
      </c>
      <c r="AP384" s="41" t="str">
        <f t="shared" si="339"/>
        <v>0,406690178179691-0,232007028299612i</v>
      </c>
      <c r="AQ384">
        <f t="shared" si="340"/>
        <v>-6.5911158095678699</v>
      </c>
      <c r="AR384" s="43">
        <f t="shared" si="341"/>
        <v>-29.703725242545513</v>
      </c>
      <c r="AS384" t="str">
        <f t="shared" si="318"/>
        <v>-0,0000166666666666667</v>
      </c>
      <c r="AT384" t="str">
        <f t="shared" si="319"/>
        <v>0,000437113803114587i</v>
      </c>
      <c r="AU384">
        <f t="shared" si="342"/>
        <v>4.3711380311458697E-4</v>
      </c>
      <c r="AV384">
        <f t="shared" si="343"/>
        <v>1.5707963267948966</v>
      </c>
      <c r="AW384" t="str">
        <f t="shared" si="320"/>
        <v>1+1,3699409150298i</v>
      </c>
      <c r="AX384">
        <f t="shared" si="344"/>
        <v>1.6960949592144554</v>
      </c>
      <c r="AY384">
        <f t="shared" si="345"/>
        <v>0.94024565032844054</v>
      </c>
      <c r="AZ384" t="str">
        <f t="shared" si="321"/>
        <v>1+94,7750033034255i</v>
      </c>
      <c r="BA384">
        <f t="shared" si="346"/>
        <v>94.780278809277164</v>
      </c>
      <c r="BB384">
        <f t="shared" si="347"/>
        <v>1.5602454129715295</v>
      </c>
      <c r="BC384" s="41" t="str">
        <f t="shared" si="348"/>
        <v>-1,23801046782305+1,73413008894022i</v>
      </c>
      <c r="BD384">
        <f t="shared" si="349"/>
        <v>6.5704409458686444</v>
      </c>
      <c r="BE384" s="43">
        <f t="shared" si="350"/>
        <v>125.52336969856185</v>
      </c>
      <c r="BF384" s="41" t="str">
        <f t="shared" si="351"/>
        <v>0,238537066754319+0,379682586134298i</v>
      </c>
      <c r="BG384" s="20">
        <f t="shared" si="352"/>
        <v>-6.9667691721054812</v>
      </c>
      <c r="BH384" s="43">
        <f t="shared" si="353"/>
        <v>57.860747245674645</v>
      </c>
      <c r="BI384" s="41" t="str">
        <f t="shared" si="357"/>
        <v>-0,101156329127316+0,9924808045013i</v>
      </c>
      <c r="BJ384" s="20">
        <f t="shared" si="354"/>
        <v>-2.0674863699222126E-2</v>
      </c>
      <c r="BK384" s="43">
        <f t="shared" si="358"/>
        <v>95.81964445601632</v>
      </c>
      <c r="BL384">
        <f t="shared" si="355"/>
        <v>-6.9667691721054812</v>
      </c>
      <c r="BM384" s="43">
        <f t="shared" si="356"/>
        <v>57.860747245674645</v>
      </c>
    </row>
    <row r="385" spans="14:65" x14ac:dyDescent="0.25">
      <c r="N385" s="9">
        <v>67</v>
      </c>
      <c r="O385" s="34">
        <f t="shared" si="359"/>
        <v>46773.514128719893</v>
      </c>
      <c r="P385" s="33" t="str">
        <f t="shared" si="309"/>
        <v>54,631621870174</v>
      </c>
      <c r="Q385" s="4" t="str">
        <f t="shared" si="310"/>
        <v>1+2342,64409539473i</v>
      </c>
      <c r="R385" s="4">
        <f t="shared" si="322"/>
        <v>2342.6443088287629</v>
      </c>
      <c r="S385" s="4">
        <f t="shared" si="323"/>
        <v>1.5703694587353279</v>
      </c>
      <c r="T385" s="4" t="str">
        <f t="shared" si="311"/>
        <v>1+5,8777331347746i</v>
      </c>
      <c r="U385" s="4">
        <f t="shared" si="324"/>
        <v>5.9621931202894833</v>
      </c>
      <c r="V385" s="4">
        <f t="shared" si="325"/>
        <v>1.4022763082486573</v>
      </c>
      <c r="W385" t="str">
        <f t="shared" si="312"/>
        <v>1-1,16947458859255i</v>
      </c>
      <c r="X385" s="4">
        <f t="shared" si="326"/>
        <v>1.5387237612267233</v>
      </c>
      <c r="Y385" s="4">
        <f t="shared" si="327"/>
        <v>-0.86335764391637804</v>
      </c>
      <c r="Z385" t="str">
        <f t="shared" si="313"/>
        <v>0,991248953504202+0,160676349712296i</v>
      </c>
      <c r="AA385" s="4">
        <f t="shared" si="328"/>
        <v>1.0041869234261336</v>
      </c>
      <c r="AB385" s="4">
        <f t="shared" si="329"/>
        <v>0.16069715178421587</v>
      </c>
      <c r="AC385" s="47" t="str">
        <f t="shared" si="330"/>
        <v>0,0787586256721746-0,19796243242696i</v>
      </c>
      <c r="AD385" s="20">
        <f t="shared" si="331"/>
        <v>-13.43020243635781</v>
      </c>
      <c r="AE385" s="43">
        <f t="shared" si="332"/>
        <v>-68.305045871719415</v>
      </c>
      <c r="AF385" t="str">
        <f t="shared" si="314"/>
        <v>171,265703090588</v>
      </c>
      <c r="AG385" t="str">
        <f t="shared" si="315"/>
        <v>1+2320,22495055447i</v>
      </c>
      <c r="AH385">
        <f t="shared" si="333"/>
        <v>2320.2251660508068</v>
      </c>
      <c r="AI385">
        <f t="shared" si="334"/>
        <v>1.5703653341284991</v>
      </c>
      <c r="AJ385" t="str">
        <f t="shared" si="316"/>
        <v>1+5,8777331347746i</v>
      </c>
      <c r="AK385">
        <f t="shared" si="335"/>
        <v>5.9621931202894833</v>
      </c>
      <c r="AL385">
        <f t="shared" si="336"/>
        <v>1.4022763082486573</v>
      </c>
      <c r="AM385" t="str">
        <f t="shared" si="317"/>
        <v>1-0,369477422346531i</v>
      </c>
      <c r="AN385">
        <f t="shared" si="337"/>
        <v>1.0660739025151291</v>
      </c>
      <c r="AO385">
        <f t="shared" si="338"/>
        <v>-0.35392018958955257</v>
      </c>
      <c r="AP385" s="41" t="str">
        <f t="shared" si="339"/>
        <v>0,406688682420475-0,2339406683681i</v>
      </c>
      <c r="AQ385">
        <f t="shared" si="340"/>
        <v>-6.5733276037910446</v>
      </c>
      <c r="AR385" s="43">
        <f t="shared" si="341"/>
        <v>-29.90892491333145</v>
      </c>
      <c r="AS385" t="str">
        <f t="shared" si="318"/>
        <v>-0,0000166666666666667</v>
      </c>
      <c r="AT385" t="str">
        <f t="shared" si="319"/>
        <v>0,000447295491556347i</v>
      </c>
      <c r="AU385">
        <f t="shared" si="342"/>
        <v>4.4729549155634701E-4</v>
      </c>
      <c r="AV385">
        <f t="shared" si="343"/>
        <v>1.5707963267948966</v>
      </c>
      <c r="AW385" t="str">
        <f t="shared" si="320"/>
        <v>1+1,40185093818869i</v>
      </c>
      <c r="AX385">
        <f t="shared" si="344"/>
        <v>1.7219715598407863</v>
      </c>
      <c r="AY385">
        <f t="shared" si="345"/>
        <v>0.9511716107354351</v>
      </c>
      <c r="AZ385" t="str">
        <f t="shared" si="321"/>
        <v>1+96,9825967237809i</v>
      </c>
      <c r="BA385">
        <f t="shared" si="346"/>
        <v>96.987752150916052</v>
      </c>
      <c r="BB385">
        <f t="shared" si="347"/>
        <v>1.5604855638719413</v>
      </c>
      <c r="BC385" s="41" t="str">
        <f t="shared" si="348"/>
        <v>-1,20108210097459+1,72099904629604i</v>
      </c>
      <c r="BD385">
        <f t="shared" si="349"/>
        <v>6.438902968799038</v>
      </c>
      <c r="BE385" s="43">
        <f t="shared" si="350"/>
        <v>124.91111791315387</v>
      </c>
      <c r="BF385" s="41" t="str">
        <f t="shared" si="351"/>
        <v>0,246097581817036+0,373312653922813i</v>
      </c>
      <c r="BG385" s="20">
        <f t="shared" si="352"/>
        <v>-6.9912994675587656</v>
      </c>
      <c r="BH385" s="43">
        <f t="shared" si="353"/>
        <v>56.606072041434452</v>
      </c>
      <c r="BI385" s="41" t="str">
        <f t="shared" si="357"/>
        <v>-0,0858548299728136+0,980892784051988i</v>
      </c>
      <c r="BJ385" s="20">
        <f t="shared" si="354"/>
        <v>-0.13442463499200721</v>
      </c>
      <c r="BK385" s="43">
        <f t="shared" si="358"/>
        <v>95.002192999822427</v>
      </c>
      <c r="BL385">
        <f t="shared" si="355"/>
        <v>-6.9912994675587656</v>
      </c>
      <c r="BM385" s="43">
        <f t="shared" si="356"/>
        <v>56.606072041434452</v>
      </c>
    </row>
    <row r="386" spans="14:65" x14ac:dyDescent="0.25">
      <c r="N386" s="9">
        <v>68</v>
      </c>
      <c r="O386" s="34">
        <f t="shared" si="359"/>
        <v>47863.009232263823</v>
      </c>
      <c r="P386" s="33" t="str">
        <f t="shared" si="309"/>
        <v>54,631621870174</v>
      </c>
      <c r="Q386" s="4" t="str">
        <f t="shared" si="310"/>
        <v>1+2397,2112862253i</v>
      </c>
      <c r="R386" s="4">
        <f t="shared" si="322"/>
        <v>2397.2114948009812</v>
      </c>
      <c r="S386" s="4">
        <f t="shared" si="323"/>
        <v>1.5703791754375085</v>
      </c>
      <c r="T386" s="4" t="str">
        <f t="shared" si="311"/>
        <v>1+6,01464312731122i</v>
      </c>
      <c r="U386" s="4">
        <f t="shared" si="324"/>
        <v>6.0972068973352131</v>
      </c>
      <c r="V386" s="4">
        <f t="shared" si="325"/>
        <v>1.4060424720267743</v>
      </c>
      <c r="W386" t="str">
        <f t="shared" si="312"/>
        <v>1-1,19671515115717i</v>
      </c>
      <c r="X386" s="4">
        <f t="shared" si="326"/>
        <v>1.5595278622099473</v>
      </c>
      <c r="Y386" s="4">
        <f t="shared" si="327"/>
        <v>-0.87470962350518411</v>
      </c>
      <c r="Z386" t="str">
        <f t="shared" si="313"/>
        <v>0,990836529388929+0,164418982685844i</v>
      </c>
      <c r="AA386" s="4">
        <f t="shared" si="328"/>
        <v>1.0043856977471082</v>
      </c>
      <c r="AB386" s="4">
        <f t="shared" si="329"/>
        <v>0.16444114385097588</v>
      </c>
      <c r="AC386" s="47" t="str">
        <f t="shared" si="330"/>
        <v>0,0774787961249549-0,201363718273175i</v>
      </c>
      <c r="AD386" s="20">
        <f t="shared" si="331"/>
        <v>-13.32077414241737</v>
      </c>
      <c r="AE386" s="43">
        <f t="shared" si="332"/>
        <v>-68.954752771817013</v>
      </c>
      <c r="AF386" t="str">
        <f t="shared" si="314"/>
        <v>171,265703090588</v>
      </c>
      <c r="AG386" t="str">
        <f t="shared" si="315"/>
        <v>1+2374,26993241734i</v>
      </c>
      <c r="AH386">
        <f t="shared" si="333"/>
        <v>2374.2701430083812</v>
      </c>
      <c r="AI386">
        <f t="shared" si="334"/>
        <v>1.5703751447181602</v>
      </c>
      <c r="AJ386" t="str">
        <f t="shared" si="316"/>
        <v>1+6,01464312731122i</v>
      </c>
      <c r="AK386">
        <f t="shared" si="335"/>
        <v>6.0972068973352131</v>
      </c>
      <c r="AL386">
        <f t="shared" si="336"/>
        <v>1.4060424720267743</v>
      </c>
      <c r="AM386" t="str">
        <f t="shared" si="317"/>
        <v>1-0,378083657093161i</v>
      </c>
      <c r="AN386">
        <f t="shared" si="337"/>
        <v>1.0690871113996927</v>
      </c>
      <c r="AO386">
        <f t="shared" si="338"/>
        <v>-0.36147140586934906</v>
      </c>
      <c r="AP386" s="41" t="str">
        <f t="shared" si="339"/>
        <v>0,40668725398149-0,235998346817485i</v>
      </c>
      <c r="AQ386">
        <f t="shared" si="340"/>
        <v>-6.55431406615652</v>
      </c>
      <c r="AR386" s="43">
        <f t="shared" si="341"/>
        <v>-30.1263545522953</v>
      </c>
      <c r="AS386" t="str">
        <f t="shared" si="318"/>
        <v>-0,0000166666666666667</v>
      </c>
      <c r="AT386" t="str">
        <f t="shared" si="319"/>
        <v>0,000457714341988384i</v>
      </c>
      <c r="AU386">
        <f t="shared" si="342"/>
        <v>4.5771434198838403E-4</v>
      </c>
      <c r="AV386">
        <f t="shared" si="343"/>
        <v>1.5707963267948966</v>
      </c>
      <c r="AW386" t="str">
        <f t="shared" si="320"/>
        <v>1+1,43450424127068i</v>
      </c>
      <c r="AX386">
        <f t="shared" si="344"/>
        <v>1.7486573186944232</v>
      </c>
      <c r="AY386">
        <f t="shared" si="345"/>
        <v>0.96201599622961542</v>
      </c>
      <c r="AZ386" t="str">
        <f t="shared" si="321"/>
        <v>1+99,2416116006351i</v>
      </c>
      <c r="BA386">
        <f t="shared" si="346"/>
        <v>99.246649681948</v>
      </c>
      <c r="BB386">
        <f t="shared" si="347"/>
        <v>1.5607202494197137</v>
      </c>
      <c r="BC386" s="41" t="str">
        <f t="shared" si="348"/>
        <v>-1,16470307988941+1,70718432075727i</v>
      </c>
      <c r="BD386">
        <f t="shared" si="349"/>
        <v>6.3053074784807563</v>
      </c>
      <c r="BE386" s="43">
        <f t="shared" si="350"/>
        <v>124.30322688432449</v>
      </c>
      <c r="BF386" s="41" t="str">
        <f t="shared" si="351"/>
        <v>0,25352519013249+0,366799528786423i</v>
      </c>
      <c r="BG386" s="20">
        <f t="shared" si="352"/>
        <v>-7.0154666639366052</v>
      </c>
      <c r="BH386" s="43">
        <f t="shared" si="353"/>
        <v>55.348474112507517</v>
      </c>
      <c r="BI386" s="41" t="str">
        <f t="shared" si="357"/>
        <v>-0,0707772198525614+0,969158104836163i</v>
      </c>
      <c r="BJ386" s="20">
        <f t="shared" si="354"/>
        <v>-0.24900658767576478</v>
      </c>
      <c r="BK386" s="43">
        <f t="shared" si="358"/>
        <v>94.176872332029191</v>
      </c>
      <c r="BL386">
        <f t="shared" si="355"/>
        <v>-7.0154666639366052</v>
      </c>
      <c r="BM386" s="43">
        <f t="shared" si="356"/>
        <v>55.348474112507517</v>
      </c>
    </row>
    <row r="387" spans="14:65" x14ac:dyDescent="0.25">
      <c r="N387" s="9">
        <v>69</v>
      </c>
      <c r="O387" s="34">
        <f t="shared" si="359"/>
        <v>48977.881936844598</v>
      </c>
      <c r="P387" s="33" t="str">
        <f t="shared" si="309"/>
        <v>54,631621870174</v>
      </c>
      <c r="Q387" s="4" t="str">
        <f t="shared" si="310"/>
        <v>1+2453,04951021068i</v>
      </c>
      <c r="R387" s="4">
        <f t="shared" si="322"/>
        <v>2453.0497140386001</v>
      </c>
      <c r="S387" s="4">
        <f t="shared" si="323"/>
        <v>1.5703886709606205</v>
      </c>
      <c r="T387" s="4" t="str">
        <f t="shared" si="311"/>
        <v>1+6,15474216324716i</v>
      </c>
      <c r="U387" s="4">
        <f t="shared" si="324"/>
        <v>6.2354511541709901</v>
      </c>
      <c r="V387" s="4">
        <f t="shared" si="325"/>
        <v>1.4097274705312108</v>
      </c>
      <c r="W387" t="str">
        <f t="shared" si="312"/>
        <v>1-1,22459022793533i</v>
      </c>
      <c r="X387" s="4">
        <f t="shared" si="326"/>
        <v>1.5810190468032645</v>
      </c>
      <c r="Y387" s="4">
        <f t="shared" si="327"/>
        <v>-0.88601526172354883</v>
      </c>
      <c r="Z387" t="str">
        <f t="shared" si="313"/>
        <v>0,990404668323922+0,168248792780355i</v>
      </c>
      <c r="AA387" s="4">
        <f t="shared" si="328"/>
        <v>1.0045939793318817</v>
      </c>
      <c r="AB387" s="4">
        <f t="shared" si="329"/>
        <v>0.16827239462136193</v>
      </c>
      <c r="AC387" s="47" t="str">
        <f t="shared" si="330"/>
        <v>0,0761397487211268-0,204858822467556i</v>
      </c>
      <c r="AD387" s="20">
        <f t="shared" si="331"/>
        <v>-13.20895687179873</v>
      </c>
      <c r="AE387" s="43">
        <f t="shared" si="332"/>
        <v>-69.611441817412967</v>
      </c>
      <c r="AF387" t="str">
        <f t="shared" si="314"/>
        <v>171,265703090588</v>
      </c>
      <c r="AG387" t="str">
        <f t="shared" si="315"/>
        <v>1+2429,57378362556i</v>
      </c>
      <c r="AH387">
        <f t="shared" si="333"/>
        <v>2429.5739894229641</v>
      </c>
      <c r="AI387">
        <f t="shared" si="334"/>
        <v>1.5703847319916149</v>
      </c>
      <c r="AJ387" t="str">
        <f t="shared" si="316"/>
        <v>1+6,15474216324716i</v>
      </c>
      <c r="AK387">
        <f t="shared" si="335"/>
        <v>6.2354511541709901</v>
      </c>
      <c r="AL387">
        <f t="shared" si="336"/>
        <v>1.4097274705312108</v>
      </c>
      <c r="AM387" t="str">
        <f t="shared" si="317"/>
        <v>1-0,38689035679931i</v>
      </c>
      <c r="AN387">
        <f t="shared" si="337"/>
        <v>1.0722332526947191</v>
      </c>
      <c r="AO387">
        <f t="shared" si="338"/>
        <v>-0.36915412744795328</v>
      </c>
      <c r="AP387" s="41" t="str">
        <f t="shared" si="339"/>
        <v>0,406685889832827-0,238181154659988i</v>
      </c>
      <c r="AQ387">
        <f t="shared" si="340"/>
        <v>-6.5340514897905519</v>
      </c>
      <c r="AR387" s="43">
        <f t="shared" si="341"/>
        <v>-30.35595652241312</v>
      </c>
      <c r="AS387" t="str">
        <f t="shared" si="318"/>
        <v>-0,0000166666666666667</v>
      </c>
      <c r="AT387" t="str">
        <f t="shared" si="319"/>
        <v>0,00046837587862311i</v>
      </c>
      <c r="AU387">
        <f t="shared" si="342"/>
        <v>4.6837587862311002E-4</v>
      </c>
      <c r="AV387">
        <f t="shared" si="343"/>
        <v>1.5707963267948966</v>
      </c>
      <c r="AW387" t="str">
        <f t="shared" si="320"/>
        <v>1+1,4679181374893i</v>
      </c>
      <c r="AX387">
        <f t="shared" si="344"/>
        <v>1.7761710667528776</v>
      </c>
      <c r="AY387">
        <f t="shared" si="345"/>
        <v>0.97277435432867743</v>
      </c>
      <c r="AZ387" t="str">
        <f t="shared" si="321"/>
        <v>1+101,553245693578i</v>
      </c>
      <c r="BA387">
        <f t="shared" si="346"/>
        <v>101.55816909978351</v>
      </c>
      <c r="BB387">
        <f t="shared" si="347"/>
        <v>1.5609495939447646</v>
      </c>
      <c r="BC387" s="41" t="str">
        <f t="shared" si="348"/>
        <v>-1,1288989293289+1,6927151697761i</v>
      </c>
      <c r="BD387">
        <f t="shared" si="349"/>
        <v>6.1696860065346479</v>
      </c>
      <c r="BE387" s="43">
        <f t="shared" si="350"/>
        <v>123.69995884409758</v>
      </c>
      <c r="BF387" s="41" t="str">
        <f t="shared" si="351"/>
        <v>0,260813555642649+0,360147813030395i</v>
      </c>
      <c r="BG387" s="20">
        <f t="shared" si="352"/>
        <v>-7.0392708652640845</v>
      </c>
      <c r="BH387" s="43">
        <f t="shared" si="353"/>
        <v>54.088517026684677</v>
      </c>
      <c r="BI387" s="41" t="str">
        <f t="shared" si="357"/>
        <v>-0,0559344119577003+0,9572858255359i</v>
      </c>
      <c r="BJ387" s="20">
        <f t="shared" si="354"/>
        <v>-0.36436548325589846</v>
      </c>
      <c r="BK387" s="43">
        <f t="shared" si="358"/>
        <v>93.344002321684471</v>
      </c>
      <c r="BL387">
        <f t="shared" si="355"/>
        <v>-7.0392708652640845</v>
      </c>
      <c r="BM387" s="43">
        <f t="shared" si="356"/>
        <v>54.088517026684677</v>
      </c>
    </row>
    <row r="388" spans="14:65" x14ac:dyDescent="0.25">
      <c r="N388" s="9">
        <v>70</v>
      </c>
      <c r="O388" s="34">
        <f t="shared" si="359"/>
        <v>50118.723362727294</v>
      </c>
      <c r="P388" s="33" t="str">
        <f t="shared" si="309"/>
        <v>54,631621870174</v>
      </c>
      <c r="Q388" s="4" t="str">
        <f t="shared" si="310"/>
        <v>1+2510,18837351633i</v>
      </c>
      <c r="R388" s="4">
        <f t="shared" si="322"/>
        <v>2510.1885727045606</v>
      </c>
      <c r="S388" s="4">
        <f t="shared" si="323"/>
        <v>1.5703979503393091</v>
      </c>
      <c r="T388" s="4" t="str">
        <f t="shared" si="311"/>
        <v>1+6,29810452494572i</v>
      </c>
      <c r="U388" s="4">
        <f t="shared" si="324"/>
        <v>6.3769993419430238</v>
      </c>
      <c r="V388" s="4">
        <f t="shared" si="325"/>
        <v>1.4133328570791066</v>
      </c>
      <c r="W388" t="str">
        <f t="shared" si="312"/>
        <v>1-1,25311459866172i</v>
      </c>
      <c r="X388" s="4">
        <f t="shared" si="326"/>
        <v>1.6032143329508763</v>
      </c>
      <c r="Y388" s="4">
        <f t="shared" si="327"/>
        <v>-0.89726899325529841</v>
      </c>
      <c r="Z388" t="str">
        <f t="shared" si="313"/>
        <v>0,989952454273962+0,172167810611834i</v>
      </c>
      <c r="AA388" s="4">
        <f t="shared" si="328"/>
        <v>1.0048122295901425</v>
      </c>
      <c r="AB388" s="4">
        <f t="shared" si="329"/>
        <v>0.17219293865429611</v>
      </c>
      <c r="AC388" s="47" t="str">
        <f t="shared" si="330"/>
        <v>0,0747387929244143-0,208448680053411i</v>
      </c>
      <c r="AD388" s="20">
        <f t="shared" si="331"/>
        <v>-13.094784152167696</v>
      </c>
      <c r="AE388" s="43">
        <f t="shared" si="332"/>
        <v>-70.274822000965472</v>
      </c>
      <c r="AF388" t="str">
        <f t="shared" si="314"/>
        <v>171,265703090588</v>
      </c>
      <c r="AG388" t="str">
        <f t="shared" si="315"/>
        <v>1+2486,16582701308i</v>
      </c>
      <c r="AH388">
        <f t="shared" si="333"/>
        <v>2486.1660281259642</v>
      </c>
      <c r="AI388">
        <f t="shared" si="334"/>
        <v>1.5703941010321554</v>
      </c>
      <c r="AJ388" t="str">
        <f t="shared" si="316"/>
        <v>1+6,29810452494572i</v>
      </c>
      <c r="AK388">
        <f t="shared" si="335"/>
        <v>6.3769993419430238</v>
      </c>
      <c r="AL388">
        <f t="shared" si="336"/>
        <v>1.4133328570791066</v>
      </c>
      <c r="AM388" t="str">
        <f t="shared" si="317"/>
        <v>1-0,395902190893736i</v>
      </c>
      <c r="AN388">
        <f t="shared" si="337"/>
        <v>1.0755178030857788</v>
      </c>
      <c r="AO388">
        <f t="shared" si="338"/>
        <v>-0.37696879906053926</v>
      </c>
      <c r="AP388" s="41" t="str">
        <f t="shared" si="339"/>
        <v>0,406684587080946-0,240490249252839i</v>
      </c>
      <c r="AQ388">
        <f t="shared" si="340"/>
        <v>-6.5125150033464649</v>
      </c>
      <c r="AR388" s="43">
        <f t="shared" si="341"/>
        <v>-30.597667597868472</v>
      </c>
      <c r="AS388" t="str">
        <f t="shared" si="318"/>
        <v>-0,0000166666666666667</v>
      </c>
      <c r="AT388" t="str">
        <f t="shared" si="319"/>
        <v>0,00047928575434837i</v>
      </c>
      <c r="AU388">
        <f t="shared" si="342"/>
        <v>4.7928575434836999E-4</v>
      </c>
      <c r="AV388">
        <f t="shared" si="343"/>
        <v>1.5707963267948966</v>
      </c>
      <c r="AW388" t="str">
        <f t="shared" si="320"/>
        <v>1+1,50211034333462i</v>
      </c>
      <c r="AX388">
        <f t="shared" si="344"/>
        <v>1.8045319292140136</v>
      </c>
      <c r="AY388">
        <f t="shared" si="345"/>
        <v>0.98344242772574098</v>
      </c>
      <c r="AZ388" t="str">
        <f t="shared" si="321"/>
        <v>1+103,918724661604i</v>
      </c>
      <c r="BA388">
        <f t="shared" si="346"/>
        <v>103.92353600265083</v>
      </c>
      <c r="BB388">
        <f t="shared" si="347"/>
        <v>1.5611737189520352</v>
      </c>
      <c r="BC388" s="41" t="str">
        <f t="shared" si="348"/>
        <v>-1,09369317510017+1,67762179704595i</v>
      </c>
      <c r="BD388">
        <f t="shared" si="349"/>
        <v>6.0320714639944528</v>
      </c>
      <c r="BE388" s="43">
        <f t="shared" si="350"/>
        <v>123.10156467991013</v>
      </c>
      <c r="BF388" s="41" t="str">
        <f t="shared" si="351"/>
        <v>0,267956741486403+0,353362326827956i</v>
      </c>
      <c r="BG388" s="20">
        <f t="shared" si="352"/>
        <v>-7.0627126881732325</v>
      </c>
      <c r="BH388" s="43">
        <f t="shared" si="353"/>
        <v>52.826742678944669</v>
      </c>
      <c r="BI388" s="41" t="str">
        <f t="shared" si="357"/>
        <v>-0,0413364731852852+0,945285472095595i</v>
      </c>
      <c r="BJ388" s="20">
        <f t="shared" si="354"/>
        <v>-0.48044353935201567</v>
      </c>
      <c r="BK388" s="43">
        <f t="shared" si="358"/>
        <v>92.503897082041647</v>
      </c>
      <c r="BL388">
        <f t="shared" si="355"/>
        <v>-7.0627126881732325</v>
      </c>
      <c r="BM388" s="43">
        <f t="shared" si="356"/>
        <v>52.826742678944669</v>
      </c>
    </row>
    <row r="389" spans="14:65" x14ac:dyDescent="0.25">
      <c r="N389" s="9">
        <v>71</v>
      </c>
      <c r="O389" s="34">
        <f t="shared" si="359"/>
        <v>51286.138399136544</v>
      </c>
      <c r="P389" s="33" t="str">
        <f t="shared" si="309"/>
        <v>54,631621870174</v>
      </c>
      <c r="Q389" s="4" t="str">
        <f t="shared" si="310"/>
        <v>1+2568,65817192389i</v>
      </c>
      <c r="R389" s="4">
        <f t="shared" si="322"/>
        <v>2568.6583665780431</v>
      </c>
      <c r="S389" s="4">
        <f t="shared" si="323"/>
        <v>1.570407018493617</v>
      </c>
      <c r="T389" s="4" t="str">
        <f t="shared" si="311"/>
        <v>1+6,44480622502868i</v>
      </c>
      <c r="U389" s="4">
        <f t="shared" si="324"/>
        <v>6.5219266538476521</v>
      </c>
      <c r="V389" s="4">
        <f t="shared" si="325"/>
        <v>1.4168601681771851</v>
      </c>
      <c r="W389" t="str">
        <f t="shared" si="312"/>
        <v>1-1,28230338733525i</v>
      </c>
      <c r="X389" s="4">
        <f t="shared" si="326"/>
        <v>1.6261309840143434</v>
      </c>
      <c r="Y389" s="4">
        <f t="shared" si="327"/>
        <v>-0.90846538368565288</v>
      </c>
      <c r="Z389" t="str">
        <f t="shared" si="313"/>
        <v>0,989478928032418+0,17617811409541i</v>
      </c>
      <c r="AA389" s="4">
        <f t="shared" si="328"/>
        <v>1.0050409329506924</v>
      </c>
      <c r="AB389" s="4">
        <f t="shared" si="329"/>
        <v>0.17620485786142626</v>
      </c>
      <c r="AC389" s="47" t="str">
        <f t="shared" si="330"/>
        <v>0,073273121356778-0,212134211632441i</v>
      </c>
      <c r="AD389" s="20">
        <f t="shared" si="331"/>
        <v>-12.978291350239919</v>
      </c>
      <c r="AE389" s="43">
        <f t="shared" si="332"/>
        <v>-70.944613484741737</v>
      </c>
      <c r="AF389" t="str">
        <f t="shared" si="314"/>
        <v>171,265703090588</v>
      </c>
      <c r="AG389" t="str">
        <f t="shared" si="315"/>
        <v>1+2544,07606843037i</v>
      </c>
      <c r="AH389">
        <f t="shared" si="333"/>
        <v>2544.0762649653666</v>
      </c>
      <c r="AI389">
        <f t="shared" si="334"/>
        <v>1.5704032568073645</v>
      </c>
      <c r="AJ389" t="str">
        <f t="shared" si="316"/>
        <v>1+6,44480622502868i</v>
      </c>
      <c r="AK389">
        <f t="shared" si="335"/>
        <v>6.5219266538476521</v>
      </c>
      <c r="AL389">
        <f t="shared" si="336"/>
        <v>1.4168601681771851</v>
      </c>
      <c r="AM389" t="str">
        <f t="shared" si="317"/>
        <v>1-0,405123937570158i</v>
      </c>
      <c r="AN389">
        <f t="shared" si="337"/>
        <v>1.0789464327724287</v>
      </c>
      <c r="AO389">
        <f t="shared" si="338"/>
        <v>-0.38491574524328925</v>
      </c>
      <c r="AP389" s="41" t="str">
        <f t="shared" si="339"/>
        <v>0,406683342962541-0,242926854911929i</v>
      </c>
      <c r="AQ389">
        <f t="shared" si="340"/>
        <v>-6.4896786112129758</v>
      </c>
      <c r="AR389" s="43">
        <f t="shared" si="341"/>
        <v>-30.85141862248587</v>
      </c>
      <c r="AS389" t="str">
        <f t="shared" si="318"/>
        <v>-0,0000166666666666667</v>
      </c>
      <c r="AT389" t="str">
        <f t="shared" si="319"/>
        <v>0,000490449753724682i</v>
      </c>
      <c r="AU389">
        <f t="shared" si="342"/>
        <v>4.9044975372468196E-4</v>
      </c>
      <c r="AV389">
        <f t="shared" si="343"/>
        <v>1.5707963267948966</v>
      </c>
      <c r="AW389" t="str">
        <f t="shared" si="320"/>
        <v>1+1,53709898796676i</v>
      </c>
      <c r="AX389">
        <f t="shared" si="344"/>
        <v>1.8337593350296646</v>
      </c>
      <c r="AY389">
        <f t="shared" si="345"/>
        <v>0.99401615984414338</v>
      </c>
      <c r="AZ389" t="str">
        <f t="shared" si="321"/>
        <v>1+106,339302712973i</v>
      </c>
      <c r="BA389">
        <f t="shared" si="346"/>
        <v>106.34400453942528</v>
      </c>
      <c r="BB389">
        <f t="shared" si="347"/>
        <v>1.5613927431854533</v>
      </c>
      <c r="BC389" s="41" t="str">
        <f t="shared" si="348"/>
        <v>-1,05910731662819+1,66193519871966i</v>
      </c>
      <c r="BD389">
        <f t="shared" si="349"/>
        <v>5.8924980281298076</v>
      </c>
      <c r="BE389" s="43">
        <f t="shared" si="350"/>
        <v>122.50828362000961</v>
      </c>
      <c r="BF389" s="41" t="str">
        <f t="shared" si="351"/>
        <v>0,27494921422345+0,346448075149958i</v>
      </c>
      <c r="BG389" s="20">
        <f t="shared" si="352"/>
        <v>-7.0857933221101099</v>
      </c>
      <c r="BH389" s="43">
        <f t="shared" si="353"/>
        <v>51.563670135267941</v>
      </c>
      <c r="BI389" s="41" t="str">
        <f t="shared" si="357"/>
        <v>-0,0269926131900399+0,933166971845125i</v>
      </c>
      <c r="BJ389" s="20">
        <f t="shared" si="354"/>
        <v>-0.59718058308316735</v>
      </c>
      <c r="BK389" s="43">
        <f t="shared" si="358"/>
        <v>91.656864997523741</v>
      </c>
      <c r="BL389">
        <f t="shared" si="355"/>
        <v>-7.0857933221101099</v>
      </c>
      <c r="BM389" s="43">
        <f t="shared" si="356"/>
        <v>51.563670135267941</v>
      </c>
    </row>
    <row r="390" spans="14:65" x14ac:dyDescent="0.25">
      <c r="N390" s="9">
        <v>72</v>
      </c>
      <c r="O390" s="34">
        <f t="shared" si="359"/>
        <v>52480.746024977314</v>
      </c>
      <c r="P390" s="33" t="str">
        <f t="shared" si="309"/>
        <v>54,631621870174</v>
      </c>
      <c r="Q390" s="4" t="str">
        <f t="shared" si="310"/>
        <v>1+2628,48990689441i</v>
      </c>
      <c r="R390" s="4">
        <f t="shared" si="322"/>
        <v>2628.4900971176939</v>
      </c>
      <c r="S390" s="4">
        <f t="shared" si="323"/>
        <v>1.570415880231594</v>
      </c>
      <c r="T390" s="4" t="str">
        <f t="shared" si="311"/>
        <v>1+6,59492504667922i</v>
      </c>
      <c r="U390" s="4">
        <f t="shared" si="324"/>
        <v>6.6703100656054151</v>
      </c>
      <c r="V390" s="4">
        <f t="shared" si="325"/>
        <v>1.420310922780355</v>
      </c>
      <c r="W390" t="str">
        <f t="shared" si="312"/>
        <v>1-1,31217207023803i</v>
      </c>
      <c r="X390" s="4">
        <f t="shared" si="326"/>
        <v>1.6497865140413648</v>
      </c>
      <c r="Y390" s="4">
        <f t="shared" si="327"/>
        <v>-0.91959914151699718</v>
      </c>
      <c r="Z390" t="str">
        <f t="shared" si="313"/>
        <v>0,988983085186647+0,180281829547072i</v>
      </c>
      <c r="AA390" s="4">
        <f t="shared" si="328"/>
        <v>1.005280598067096</v>
      </c>
      <c r="AB390" s="4">
        <f t="shared" si="329"/>
        <v>0.18031028258525411</v>
      </c>
      <c r="AC390" s="47" t="str">
        <f t="shared" si="330"/>
        <v>0,0717398052429897-0,215916319350131i</v>
      </c>
      <c r="AD390" s="20">
        <f t="shared" si="331"/>
        <v>-12.859515611898997</v>
      </c>
      <c r="AE390" s="43">
        <f t="shared" si="332"/>
        <v>-71.620548393670802</v>
      </c>
      <c r="AF390" t="str">
        <f t="shared" si="314"/>
        <v>171,265703090588</v>
      </c>
      <c r="AG390" t="str">
        <f t="shared" si="315"/>
        <v>1+2603,33521265397i</v>
      </c>
      <c r="AH390">
        <f t="shared" si="333"/>
        <v>2603.3354047152839</v>
      </c>
      <c r="AI390">
        <f t="shared" si="334"/>
        <v>1.5704122041717492</v>
      </c>
      <c r="AJ390" t="str">
        <f t="shared" si="316"/>
        <v>1+6,59492504667922i</v>
      </c>
      <c r="AK390">
        <f t="shared" si="335"/>
        <v>6.6703100656054151</v>
      </c>
      <c r="AL390">
        <f t="shared" si="336"/>
        <v>1.420310922780355</v>
      </c>
      <c r="AM390" t="str">
        <f t="shared" si="317"/>
        <v>1-0,414560486320728i</v>
      </c>
      <c r="AN390">
        <f t="shared" si="337"/>
        <v>1.0825250097889094</v>
      </c>
      <c r="AO390">
        <f t="shared" si="338"/>
        <v>-0.39299516348560276</v>
      </c>
      <c r="AP390" s="41" t="str">
        <f t="shared" si="339"/>
        <v>0,406682154838673-0,245492263560977i</v>
      </c>
      <c r="AQ390">
        <f t="shared" si="340"/>
        <v>-6.4655152374118208</v>
      </c>
      <c r="AR390" s="43">
        <f t="shared" si="341"/>
        <v>-31.117134160011272</v>
      </c>
      <c r="AS390" t="str">
        <f t="shared" si="318"/>
        <v>-0,0000166666666666667</v>
      </c>
      <c r="AT390" t="str">
        <f t="shared" si="319"/>
        <v>0,000501873796052289i</v>
      </c>
      <c r="AU390">
        <f t="shared" si="342"/>
        <v>5.0187379605228899E-4</v>
      </c>
      <c r="AV390">
        <f t="shared" si="343"/>
        <v>1.5707963267948966</v>
      </c>
      <c r="AW390" t="str">
        <f t="shared" si="320"/>
        <v>1+1,57290262282822i</v>
      </c>
      <c r="AX390">
        <f t="shared" si="344"/>
        <v>1.8638730270326609</v>
      </c>
      <c r="AY390">
        <f t="shared" si="345"/>
        <v>1.0044916994033384</v>
      </c>
      <c r="AZ390" t="str">
        <f t="shared" si="321"/>
        <v>1+108,816263270207i</v>
      </c>
      <c r="BA390">
        <f t="shared" si="346"/>
        <v>108.82085807459433</v>
      </c>
      <c r="BB390">
        <f t="shared" si="347"/>
        <v>1.5616067826904629</v>
      </c>
      <c r="BC390" s="41" t="str">
        <f t="shared" si="348"/>
        <v>-1,02516081264586+1,64568701102824i</v>
      </c>
      <c r="BD390">
        <f t="shared" si="349"/>
        <v>5.7510010281027002</v>
      </c>
      <c r="BE390" s="43">
        <f t="shared" si="350"/>
        <v>121.92034297543154</v>
      </c>
      <c r="BF390" s="41" t="str">
        <f t="shared" si="351"/>
        <v>0,281785845181577+0,339410215070567i</v>
      </c>
      <c r="BG390" s="20">
        <f t="shared" si="352"/>
        <v>-7.108514583796298</v>
      </c>
      <c r="BH390" s="43">
        <f t="shared" si="353"/>
        <v>50.299794581760743</v>
      </c>
      <c r="BI390" s="41" t="str">
        <f t="shared" si="357"/>
        <v>-0,0129111788927623+0,920940588245422i</v>
      </c>
      <c r="BJ390" s="20">
        <f t="shared" si="354"/>
        <v>-0.71451420930912402</v>
      </c>
      <c r="BK390" s="43">
        <f t="shared" si="358"/>
        <v>90.803208815420277</v>
      </c>
      <c r="BL390">
        <f t="shared" si="355"/>
        <v>-7.108514583796298</v>
      </c>
      <c r="BM390" s="43">
        <f t="shared" si="356"/>
        <v>50.299794581760743</v>
      </c>
    </row>
    <row r="391" spans="14:65" x14ac:dyDescent="0.25">
      <c r="N391" s="9">
        <v>73</v>
      </c>
      <c r="O391" s="34">
        <f t="shared" si="359"/>
        <v>53703.179637025423</v>
      </c>
      <c r="P391" s="33" t="str">
        <f t="shared" si="309"/>
        <v>54,631621870174</v>
      </c>
      <c r="Q391" s="4" t="str">
        <f t="shared" si="310"/>
        <v>1+2689,71530200574i</v>
      </c>
      <c r="R391" s="4">
        <f t="shared" si="322"/>
        <v>2689.7154878990136</v>
      </c>
      <c r="S391" s="4">
        <f t="shared" si="323"/>
        <v>1.5704245402518453</v>
      </c>
      <c r="T391" s="4" t="str">
        <f t="shared" si="311"/>
        <v>1+6,74854058488368i</v>
      </c>
      <c r="U391" s="4">
        <f t="shared" si="324"/>
        <v>6.8222283768444871</v>
      </c>
      <c r="V391" s="4">
        <f t="shared" si="325"/>
        <v>1.4236866216305131</v>
      </c>
      <c r="W391" t="str">
        <f t="shared" si="312"/>
        <v>1-1,34273648414111i</v>
      </c>
      <c r="X391" s="4">
        <f t="shared" si="326"/>
        <v>1.6741986936572462</v>
      </c>
      <c r="Y391" s="4">
        <f t="shared" si="327"/>
        <v>-0.93066512934162049</v>
      </c>
      <c r="Z391" t="str">
        <f t="shared" si="313"/>
        <v>0,988463873987493+0,184481132811072i</v>
      </c>
      <c r="AA391" s="4">
        <f t="shared" si="328"/>
        <v>1.0055317590914863</v>
      </c>
      <c r="AB391" s="4">
        <f t="shared" si="329"/>
        <v>0.18451139269797118</v>
      </c>
      <c r="AC391" s="47" t="str">
        <f t="shared" si="330"/>
        <v>0,0701357897329948-0,219795882564954i</v>
      </c>
      <c r="AD391" s="20">
        <f t="shared" si="331"/>
        <v>-12.738495796109468</v>
      </c>
      <c r="AE391" s="43">
        <f t="shared" si="332"/>
        <v>-72.302371556482939</v>
      </c>
      <c r="AF391" t="str">
        <f t="shared" si="314"/>
        <v>171,265703090588</v>
      </c>
      <c r="AG391" t="str">
        <f t="shared" si="315"/>
        <v>1+2663,97467966654i</v>
      </c>
      <c r="AH391">
        <f t="shared" si="333"/>
        <v>2663.9748673560048</v>
      </c>
      <c r="AI391">
        <f t="shared" si="334"/>
        <v>1.570420947869315</v>
      </c>
      <c r="AJ391" t="str">
        <f t="shared" si="316"/>
        <v>1+6,74854058488368i</v>
      </c>
      <c r="AK391">
        <f t="shared" si="335"/>
        <v>6.8222283768444871</v>
      </c>
      <c r="AL391">
        <f t="shared" si="336"/>
        <v>1.4236866216305131</v>
      </c>
      <c r="AM391" t="str">
        <f t="shared" si="317"/>
        <v>1-0,424216840528503i</v>
      </c>
      <c r="AN391">
        <f t="shared" si="337"/>
        <v>1.0862596042327937</v>
      </c>
      <c r="AO391">
        <f t="shared" si="338"/>
        <v>-0.40120711735447839</v>
      </c>
      <c r="AP391" s="41" t="str">
        <f t="shared" si="339"/>
        <v>0,40668102018917-0,248187835416548i</v>
      </c>
      <c r="AQ391">
        <f t="shared" si="340"/>
        <v>-6.4399967733555439</v>
      </c>
      <c r="AR391" s="43">
        <f t="shared" si="341"/>
        <v>-31.394732138200624</v>
      </c>
      <c r="AS391" t="str">
        <f t="shared" si="318"/>
        <v>-0,0000166666666666667</v>
      </c>
      <c r="AT391" t="str">
        <f t="shared" si="319"/>
        <v>0,000513563938509648i</v>
      </c>
      <c r="AU391">
        <f t="shared" si="342"/>
        <v>5.1356393850964801E-4</v>
      </c>
      <c r="AV391">
        <f t="shared" si="343"/>
        <v>1.5707963267948966</v>
      </c>
      <c r="AW391" t="str">
        <f t="shared" si="320"/>
        <v>1+1,60954023148014i</v>
      </c>
      <c r="AX391">
        <f t="shared" si="344"/>
        <v>1.8948930726437159</v>
      </c>
      <c r="AY391">
        <f t="shared" si="345"/>
        <v>1.0148654040088287</v>
      </c>
      <c r="AZ391" t="str">
        <f t="shared" si="321"/>
        <v>1+111,350919650581i</v>
      </c>
      <c r="BA391">
        <f t="shared" si="346"/>
        <v>111.35540986871786</v>
      </c>
      <c r="BB391">
        <f t="shared" si="347"/>
        <v>1.5618159508751512</v>
      </c>
      <c r="BC391" s="41" t="str">
        <f t="shared" si="348"/>
        <v>-0,991871079498197+1,62890936049317i</v>
      </c>
      <c r="BD391">
        <f t="shared" si="349"/>
        <v>5.6076168301815512</v>
      </c>
      <c r="BE391" s="43">
        <f t="shared" si="350"/>
        <v>121.33795793781255</v>
      </c>
      <c r="BF391" s="41" t="str">
        <f t="shared" si="351"/>
        <v>0,288461909033987+0,332254023710616i</v>
      </c>
      <c r="BG391" s="20">
        <f t="shared" si="352"/>
        <v>-7.1308789659279137</v>
      </c>
      <c r="BH391" s="43">
        <f t="shared" si="353"/>
        <v>49.035586381329637</v>
      </c>
      <c r="BI391" s="41" t="str">
        <f t="shared" si="357"/>
        <v>0,000900345764093202+0,908616856753983i</v>
      </c>
      <c r="BJ391" s="20">
        <f t="shared" si="354"/>
        <v>-0.83237994317399422</v>
      </c>
      <c r="BK391" s="43">
        <f t="shared" si="358"/>
        <v>89.943225799611938</v>
      </c>
      <c r="BL391">
        <f t="shared" si="355"/>
        <v>-7.1308789659279137</v>
      </c>
      <c r="BM391" s="43">
        <f t="shared" si="356"/>
        <v>49.035586381329637</v>
      </c>
    </row>
    <row r="392" spans="14:65" x14ac:dyDescent="0.25">
      <c r="N392" s="9">
        <v>74</v>
      </c>
      <c r="O392" s="34">
        <f t="shared" si="359"/>
        <v>54954.087385762505</v>
      </c>
      <c r="P392" s="33" t="str">
        <f t="shared" si="309"/>
        <v>54,631621870174</v>
      </c>
      <c r="Q392" s="4" t="str">
        <f t="shared" si="310"/>
        <v>1+2752,36681977278i</v>
      </c>
      <c r="R392" s="4">
        <f t="shared" si="322"/>
        <v>2752.3670014346067</v>
      </c>
      <c r="S392" s="4">
        <f t="shared" si="323"/>
        <v>1.570433003146023</v>
      </c>
      <c r="T392" s="4" t="str">
        <f t="shared" si="311"/>
        <v>1+6,90573428863372i</v>
      </c>
      <c r="U392" s="4">
        <f t="shared" si="324"/>
        <v>6.9777622534170263</v>
      </c>
      <c r="V392" s="4">
        <f t="shared" si="325"/>
        <v>1.4269887466706617</v>
      </c>
      <c r="W392" t="str">
        <f t="shared" si="312"/>
        <v>1-1,37401283470129i</v>
      </c>
      <c r="X392" s="4">
        <f t="shared" si="326"/>
        <v>1.6993855565832832</v>
      </c>
      <c r="Y392" s="4">
        <f t="shared" si="327"/>
        <v>-0.94165837412328335</v>
      </c>
      <c r="Z392" t="str">
        <f t="shared" si="313"/>
        <v>0,987920193118392+0,188778250413585i</v>
      </c>
      <c r="AA392" s="4">
        <f t="shared" si="328"/>
        <v>1.0057949770208117</v>
      </c>
      <c r="AB392" s="4">
        <f t="shared" si="329"/>
        <v>0.18881041872084628</v>
      </c>
      <c r="AC392" s="47" t="str">
        <f t="shared" si="330"/>
        <v>0,0684578891051986-0,223773753179145i</v>
      </c>
      <c r="AD392" s="20">
        <f t="shared" si="331"/>
        <v>-12.615272403372844</v>
      </c>
      <c r="AE392" s="43">
        <f t="shared" si="332"/>
        <v>-72.989841192647901</v>
      </c>
      <c r="AF392" t="str">
        <f t="shared" si="314"/>
        <v>171,265703090588</v>
      </c>
      <c r="AG392" t="str">
        <f t="shared" si="315"/>
        <v>1+2726,02662131613i</v>
      </c>
      <c r="AH392">
        <f t="shared" si="333"/>
        <v>2726.0268047332611</v>
      </c>
      <c r="AI392">
        <f t="shared" si="334"/>
        <v>1.5704294925360802</v>
      </c>
      <c r="AJ392" t="str">
        <f t="shared" si="316"/>
        <v>1+6,90573428863372i</v>
      </c>
      <c r="AK392">
        <f t="shared" si="335"/>
        <v>6.9777622534170263</v>
      </c>
      <c r="AL392">
        <f t="shared" si="336"/>
        <v>1.4269887466706617</v>
      </c>
      <c r="AM392" t="str">
        <f t="shared" si="317"/>
        <v>1-0,434098120120299i</v>
      </c>
      <c r="AN392">
        <f t="shared" si="337"/>
        <v>1.0901564923862894</v>
      </c>
      <c r="AO392">
        <f t="shared" si="338"/>
        <v>-0.40955152962317265</v>
      </c>
      <c r="AP392" s="41" t="str">
        <f t="shared" si="339"/>
        <v>0,406679936607294-0,251014999709262i</v>
      </c>
      <c r="AQ392">
        <f t="shared" si="340"/>
        <v>-6.4130941296264341</v>
      </c>
      <c r="AR392" s="43">
        <f t="shared" si="341"/>
        <v>-31.684123488832018</v>
      </c>
      <c r="AS392" t="str">
        <f t="shared" si="318"/>
        <v>-0,0000166666666666667</v>
      </c>
      <c r="AT392" t="str">
        <f t="shared" si="319"/>
        <v>0,000525526379365026i</v>
      </c>
      <c r="AU392">
        <f t="shared" si="342"/>
        <v>5.2552637936502595E-4</v>
      </c>
      <c r="AV392">
        <f t="shared" si="343"/>
        <v>1.5707963267948966</v>
      </c>
      <c r="AW392" t="str">
        <f t="shared" si="320"/>
        <v>1+1,64703123966757i</v>
      </c>
      <c r="AX392">
        <f t="shared" si="344"/>
        <v>1.9268398751429481</v>
      </c>
      <c r="AY392">
        <f t="shared" si="345"/>
        <v>1.0251338427864318</v>
      </c>
      <c r="AZ392" t="str">
        <f t="shared" si="321"/>
        <v>1+113,944615762456i</v>
      </c>
      <c r="BA392">
        <f t="shared" si="346"/>
        <v>113.94900377473132</v>
      </c>
      <c r="BB392">
        <f t="shared" si="347"/>
        <v>1.5620203585700054</v>
      </c>
      <c r="BC392" s="41" t="str">
        <f t="shared" si="348"/>
        <v>-0,959253501446835+1,61163471783051i</v>
      </c>
      <c r="BD392">
        <f t="shared" si="349"/>
        <v>5.4623827232032909</v>
      </c>
      <c r="BE392" s="43">
        <f t="shared" si="350"/>
        <v>120.76133143188262</v>
      </c>
      <c r="BF392" s="41" t="str">
        <f t="shared" si="351"/>
        <v>0,294973079736925+0,324984867060324i</v>
      </c>
      <c r="BG392" s="20">
        <f t="shared" si="352"/>
        <v>-7.1528896801695439</v>
      </c>
      <c r="BH392" s="43">
        <f t="shared" si="353"/>
        <v>47.771490239234716</v>
      </c>
      <c r="BI392" s="41" t="str">
        <f t="shared" si="357"/>
        <v>0,0144353350689383+0,896206522268212i</v>
      </c>
      <c r="BJ392" s="20">
        <f t="shared" si="354"/>
        <v>-0.95071140642314078</v>
      </c>
      <c r="BK392" s="43">
        <f t="shared" si="358"/>
        <v>89.07720794305061</v>
      </c>
      <c r="BL392">
        <f t="shared" si="355"/>
        <v>-7.1528896801695439</v>
      </c>
      <c r="BM392" s="43">
        <f t="shared" si="356"/>
        <v>47.771490239234716</v>
      </c>
    </row>
    <row r="393" spans="14:65" x14ac:dyDescent="0.25">
      <c r="N393" s="9">
        <v>75</v>
      </c>
      <c r="O393" s="34">
        <f t="shared" si="359"/>
        <v>56234.132519034953</v>
      </c>
      <c r="P393" s="33" t="str">
        <f t="shared" si="309"/>
        <v>54,631621870174</v>
      </c>
      <c r="Q393" s="4" t="str">
        <f t="shared" si="310"/>
        <v>1+2816,47767885955i</v>
      </c>
      <c r="R393" s="4">
        <f t="shared" si="322"/>
        <v>2816.4778563862492</v>
      </c>
      <c r="S393" s="4">
        <f t="shared" si="323"/>
        <v>1.5704412734012607</v>
      </c>
      <c r="T393" s="4" t="str">
        <f t="shared" si="311"/>
        <v>1+7,0665895041118i</v>
      </c>
      <c r="U393" s="4">
        <f t="shared" si="324"/>
        <v>7.1369942706732683</v>
      </c>
      <c r="V393" s="4">
        <f t="shared" si="325"/>
        <v>1.4302187605296803</v>
      </c>
      <c r="W393" t="str">
        <f t="shared" si="312"/>
        <v>1-1,40601770505365i</v>
      </c>
      <c r="X393" s="4">
        <f t="shared" si="326"/>
        <v>1.7253654067832509</v>
      </c>
      <c r="Y393" s="4">
        <f t="shared" si="327"/>
        <v>-0.95257407654876147</v>
      </c>
      <c r="Z393" t="str">
        <f t="shared" si="313"/>
        <v>0,987350889359326+0,193175460743243i</v>
      </c>
      <c r="AA393" s="4">
        <f t="shared" si="328"/>
        <v>1.0060708411200556</v>
      </c>
      <c r="AB393" s="4">
        <f t="shared" si="329"/>
        <v>0.19320964296394788</v>
      </c>
      <c r="AC393" s="47" t="str">
        <f t="shared" si="330"/>
        <v>0,0667027818548201-0,227850750607546i</v>
      </c>
      <c r="AD393" s="20">
        <f t="shared" si="331"/>
        <v>-12.489887499501842</v>
      </c>
      <c r="AE393" s="43">
        <f t="shared" si="332"/>
        <v>-73.682729543139956</v>
      </c>
      <c r="AF393" t="str">
        <f t="shared" si="314"/>
        <v>171,265703090588</v>
      </c>
      <c r="AG393" t="str">
        <f t="shared" si="315"/>
        <v>1+2789,52393836357i</v>
      </c>
      <c r="AH393">
        <f t="shared" si="333"/>
        <v>2789.5241176056179</v>
      </c>
      <c r="AI393">
        <f t="shared" si="334"/>
        <v>1.5704378427025358</v>
      </c>
      <c r="AJ393" t="str">
        <f t="shared" si="316"/>
        <v>1+7,0665895041118i</v>
      </c>
      <c r="AK393">
        <f t="shared" si="335"/>
        <v>7.1369942706732683</v>
      </c>
      <c r="AL393">
        <f t="shared" si="336"/>
        <v>1.4302187605296803</v>
      </c>
      <c r="AM393" t="str">
        <f t="shared" si="317"/>
        <v>1-0,44420956428135i</v>
      </c>
      <c r="AN393">
        <f t="shared" si="337"/>
        <v>1.0942221607146452</v>
      </c>
      <c r="AO393">
        <f t="shared" si="338"/>
        <v>-0.41802817543918341</v>
      </c>
      <c r="AP393" s="41" t="str">
        <f t="shared" si="339"/>
        <v>0,406678901794624-0,253975255441607i</v>
      </c>
      <c r="AQ393">
        <f t="shared" si="340"/>
        <v>-6.3847772919248538</v>
      </c>
      <c r="AR393" s="43">
        <f t="shared" si="341"/>
        <v>-31.98521178592215</v>
      </c>
      <c r="AS393" t="str">
        <f t="shared" si="318"/>
        <v>-0,0000166666666666667</v>
      </c>
      <c r="AT393" t="str">
        <f t="shared" si="319"/>
        <v>0,000537767461262908i</v>
      </c>
      <c r="AU393">
        <f t="shared" si="342"/>
        <v>5.3776746126290805E-4</v>
      </c>
      <c r="AV393">
        <f t="shared" si="343"/>
        <v>1.5707963267948966</v>
      </c>
      <c r="AW393" t="str">
        <f t="shared" si="320"/>
        <v>1+1,68539552561931i</v>
      </c>
      <c r="AX393">
        <f t="shared" si="344"/>
        <v>1.9597341854898562</v>
      </c>
      <c r="AY393">
        <f t="shared" si="345"/>
        <v>1.0352937980880568</v>
      </c>
      <c r="AZ393" t="str">
        <f t="shared" si="321"/>
        <v>1+116,598726817845i</v>
      </c>
      <c r="BA393">
        <f t="shared" si="346"/>
        <v>116.60301495048252</v>
      </c>
      <c r="BB393">
        <f t="shared" si="347"/>
        <v>1.5622201140863263</v>
      </c>
      <c r="BC393" s="41" t="str">
        <f t="shared" si="348"/>
        <v>-0,927321452266432+1,59389575654236i</v>
      </c>
      <c r="BD393">
        <f t="shared" si="349"/>
        <v>5.3153368049389833</v>
      </c>
      <c r="BE393" s="43">
        <f t="shared" si="350"/>
        <v>120.19065402107761</v>
      </c>
      <c r="BF393" s="41" t="str">
        <f t="shared" si="351"/>
        <v>0,301315423978536+0,317608169901355i</v>
      </c>
      <c r="BG393" s="20">
        <f t="shared" si="352"/>
        <v>-7.1745506945628552</v>
      </c>
      <c r="BH393" s="43">
        <f t="shared" si="353"/>
        <v>46.507924477937721</v>
      </c>
      <c r="BI393" s="41" t="str">
        <f t="shared" si="357"/>
        <v>0,0276880120968309+0,883720478561607i</v>
      </c>
      <c r="BJ393" s="20">
        <f t="shared" si="354"/>
        <v>-1.0694404869858727</v>
      </c>
      <c r="BK393" s="43">
        <f t="shared" si="358"/>
        <v>88.205442235155473</v>
      </c>
      <c r="BL393">
        <f t="shared" si="355"/>
        <v>-7.1745506945628552</v>
      </c>
      <c r="BM393" s="43">
        <f t="shared" si="356"/>
        <v>46.507924477937721</v>
      </c>
    </row>
    <row r="394" spans="14:65" x14ac:dyDescent="0.25">
      <c r="N394" s="9">
        <v>76</v>
      </c>
      <c r="O394" s="34">
        <f t="shared" si="359"/>
        <v>57543.993733715732</v>
      </c>
      <c r="P394" s="33" t="str">
        <f t="shared" si="309"/>
        <v>54,631621870174</v>
      </c>
      <c r="Q394" s="4" t="str">
        <f t="shared" si="310"/>
        <v>1+2882,08187169215i</v>
      </c>
      <c r="R394" s="4">
        <f t="shared" si="322"/>
        <v>2882.0820451778482</v>
      </c>
      <c r="S394" s="4">
        <f t="shared" si="323"/>
        <v>1.5704493554025527</v>
      </c>
      <c r="T394" s="4" t="str">
        <f t="shared" si="311"/>
        <v>1+7,23119151888234i</v>
      </c>
      <c r="U394" s="4">
        <f t="shared" si="324"/>
        <v>7.3000089577175089</v>
      </c>
      <c r="V394" s="4">
        <f t="shared" si="325"/>
        <v>1.4333781060732609</v>
      </c>
      <c r="W394" t="str">
        <f t="shared" si="312"/>
        <v>1-1,43876806460407i</v>
      </c>
      <c r="X394" s="4">
        <f t="shared" si="326"/>
        <v>1.7521568262357514</v>
      </c>
      <c r="Y394" s="4">
        <f t="shared" si="327"/>
        <v>-0.96340761941964836</v>
      </c>
      <c r="Z394" t="str">
        <f t="shared" si="313"/>
        <v>0,986754755140696+0,197675095259167i</v>
      </c>
      <c r="AA394" s="4">
        <f t="shared" si="328"/>
        <v>1.0063599704273296</v>
      </c>
      <c r="AB394" s="4">
        <f t="shared" si="329"/>
        <v>0.19771140068587117</v>
      </c>
      <c r="AC394" s="47" t="str">
        <f t="shared" si="330"/>
        <v>0,0648670056725903-0,232027656359512i</v>
      </c>
      <c r="AD394" s="20">
        <f t="shared" si="331"/>
        <v>-12.362384635512203</v>
      </c>
      <c r="AE394" s="43">
        <f t="shared" si="332"/>
        <v>-74.380823443565831</v>
      </c>
      <c r="AF394" t="str">
        <f t="shared" si="314"/>
        <v>171,265703090588</v>
      </c>
      <c r="AG394" t="str">
        <f t="shared" si="315"/>
        <v>1+2854,50029792686i</v>
      </c>
      <c r="AH394">
        <f t="shared" si="333"/>
        <v>2854.5004730888613</v>
      </c>
      <c r="AI394">
        <f t="shared" si="334"/>
        <v>1.5704460027960456</v>
      </c>
      <c r="AJ394" t="str">
        <f t="shared" si="316"/>
        <v>1+7,23119151888234i</v>
      </c>
      <c r="AK394">
        <f t="shared" si="335"/>
        <v>7.3000089577175089</v>
      </c>
      <c r="AL394">
        <f t="shared" si="336"/>
        <v>1.4333781060732609</v>
      </c>
      <c r="AM394" t="str">
        <f t="shared" si="317"/>
        <v>1-0,454556534233193i</v>
      </c>
      <c r="AN394">
        <f t="shared" si="337"/>
        <v>1.0984633097259515</v>
      </c>
      <c r="AO394">
        <f t="shared" si="338"/>
        <v>-0.42663667556948354</v>
      </c>
      <c r="AP394" s="41" t="str">
        <f t="shared" si="339"/>
        <v>0,406677913556181-0,257070172182747i</v>
      </c>
      <c r="AQ394">
        <f t="shared" si="340"/>
        <v>-6.3550153813179557</v>
      </c>
      <c r="AR394" s="43">
        <f t="shared" si="341"/>
        <v>-32.297892884574253</v>
      </c>
      <c r="AS394" t="str">
        <f t="shared" si="318"/>
        <v>-0,0000166666666666667</v>
      </c>
      <c r="AT394" t="str">
        <f t="shared" si="319"/>
        <v>0,000550293674586946i</v>
      </c>
      <c r="AU394">
        <f t="shared" si="342"/>
        <v>5.5029367458694597E-4</v>
      </c>
      <c r="AV394">
        <f t="shared" si="343"/>
        <v>1.5707963267948966</v>
      </c>
      <c r="AW394" t="str">
        <f t="shared" si="320"/>
        <v>1+1,72465343058757i</v>
      </c>
      <c r="AX394">
        <f t="shared" si="344"/>
        <v>1.9935971146742448</v>
      </c>
      <c r="AY394">
        <f t="shared" si="345"/>
        <v>1.045342266302125</v>
      </c>
      <c r="AZ394" t="str">
        <f t="shared" si="321"/>
        <v>1+119,314660061559i</v>
      </c>
      <c r="BA394">
        <f t="shared" si="346"/>
        <v>119.31885058784877</v>
      </c>
      <c r="BB394">
        <f t="shared" si="347"/>
        <v>1.5624153232733309</v>
      </c>
      <c r="BC394" s="41" t="str">
        <f t="shared" si="348"/>
        <v>-0,896086327346089+1,57572521708005i</v>
      </c>
      <c r="BD394">
        <f t="shared" si="349"/>
        <v>5.1665178699731946</v>
      </c>
      <c r="BE394" s="43">
        <f t="shared" si="350"/>
        <v>119.62610386437767</v>
      </c>
      <c r="BF394" s="41" t="str">
        <f t="shared" si="351"/>
        <v>0,307485392306578+0,310129387024691i</v>
      </c>
      <c r="BG394" s="20">
        <f t="shared" si="352"/>
        <v>-7.1958667655390034</v>
      </c>
      <c r="BH394" s="43">
        <f t="shared" si="353"/>
        <v>45.245280420811859</v>
      </c>
      <c r="BI394" s="41" t="str">
        <f t="shared" si="357"/>
        <v>0,0406534348961364+0,87116971008144i</v>
      </c>
      <c r="BJ394" s="20">
        <f t="shared" si="354"/>
        <v>-1.188497511344758</v>
      </c>
      <c r="BK394" s="43">
        <f t="shared" si="358"/>
        <v>87.328210979803416</v>
      </c>
      <c r="BL394">
        <f t="shared" si="355"/>
        <v>-7.1958667655390034</v>
      </c>
      <c r="BM394" s="43">
        <f t="shared" si="356"/>
        <v>45.245280420811859</v>
      </c>
    </row>
    <row r="395" spans="14:65" x14ac:dyDescent="0.25">
      <c r="N395" s="9">
        <v>77</v>
      </c>
      <c r="O395" s="34">
        <f t="shared" si="359"/>
        <v>58884.365535558936</v>
      </c>
      <c r="P395" s="33" t="str">
        <f t="shared" si="309"/>
        <v>54,631621870174</v>
      </c>
      <c r="Q395" s="4" t="str">
        <f t="shared" si="310"/>
        <v>1+2949,21418248197i</v>
      </c>
      <c r="R395" s="4">
        <f t="shared" si="322"/>
        <v>2949.2143520186519</v>
      </c>
      <c r="S395" s="4">
        <f t="shared" si="323"/>
        <v>1.5704572534350789</v>
      </c>
      <c r="T395" s="4" t="str">
        <f t="shared" si="311"/>
        <v>1+7,39962760711232i</v>
      </c>
      <c r="U395" s="4">
        <f t="shared" si="324"/>
        <v>7.466892842671494</v>
      </c>
      <c r="V395" s="4">
        <f t="shared" si="325"/>
        <v>1.4364682060167386</v>
      </c>
      <c r="W395" t="str">
        <f t="shared" si="312"/>
        <v>1-1,47228127802668i</v>
      </c>
      <c r="X395" s="4">
        <f t="shared" si="326"/>
        <v>1.7797786833277545</v>
      </c>
      <c r="Y395" s="4">
        <f t="shared" si="327"/>
        <v>-0.97415457506417735</v>
      </c>
      <c r="Z395" t="str">
        <f t="shared" si="313"/>
        <v>0,986130525981899+0,202279539727136i</v>
      </c>
      <c r="AA395" s="4">
        <f t="shared" si="328"/>
        <v>1.0066630153460288</v>
      </c>
      <c r="AB395" s="4">
        <f t="shared" si="329"/>
        <v>0.20231808127304179</v>
      </c>
      <c r="AC395" s="47" t="str">
        <f t="shared" si="330"/>
        <v>0,0629469523203254-0,2363052082075i</v>
      </c>
      <c r="AD395" s="20">
        <f t="shared" si="331"/>
        <v>-12.232808764439271</v>
      </c>
      <c r="AE395" s="43">
        <f t="shared" si="332"/>
        <v>-75.083924838716683</v>
      </c>
      <c r="AF395" t="str">
        <f t="shared" si="314"/>
        <v>171,265703090588</v>
      </c>
      <c r="AG395" t="str">
        <f t="shared" si="315"/>
        <v>1+2920,99015133188i</v>
      </c>
      <c r="AH395">
        <f t="shared" si="333"/>
        <v>2920.9903225067073</v>
      </c>
      <c r="AI395">
        <f t="shared" si="334"/>
        <v>1.5704539771431951</v>
      </c>
      <c r="AJ395" t="str">
        <f t="shared" si="316"/>
        <v>1+7,39962760711232i</v>
      </c>
      <c r="AK395">
        <f t="shared" si="335"/>
        <v>7.466892842671494</v>
      </c>
      <c r="AL395">
        <f t="shared" si="336"/>
        <v>1.4364682060167386</v>
      </c>
      <c r="AM395" t="str">
        <f t="shared" si="317"/>
        <v>1-0,465144516076253i</v>
      </c>
      <c r="AN395">
        <f t="shared" si="337"/>
        <v>1.1028868576766211</v>
      </c>
      <c r="AO395">
        <f t="shared" si="338"/>
        <v>-0.43537648976379323</v>
      </c>
      <c r="AP395" s="41" t="str">
        <f t="shared" si="339"/>
        <v>0,406676969795789-0,260301390900732i</v>
      </c>
      <c r="AQ395">
        <f t="shared" si="340"/>
        <v>-6.3237767189005591</v>
      </c>
      <c r="AR395" s="43">
        <f t="shared" si="341"/>
        <v>-32.622054563037658</v>
      </c>
      <c r="AS395" t="str">
        <f t="shared" si="318"/>
        <v>-0,0000166666666666667</v>
      </c>
      <c r="AT395" t="str">
        <f t="shared" si="319"/>
        <v>0,000563111660901248i</v>
      </c>
      <c r="AU395">
        <f t="shared" si="342"/>
        <v>5.6311166090124804E-4</v>
      </c>
      <c r="AV395">
        <f t="shared" si="343"/>
        <v>1.5707963267948966</v>
      </c>
      <c r="AW395" t="str">
        <f t="shared" si="320"/>
        <v>1+1,76482576963323i</v>
      </c>
      <c r="AX395">
        <f t="shared" si="344"/>
        <v>2.0284501465802709</v>
      </c>
      <c r="AY395">
        <f t="shared" si="345"/>
        <v>1.0552764578072331</v>
      </c>
      <c r="AZ395" t="str">
        <f t="shared" si="321"/>
        <v>1+122,093855517353i</v>
      </c>
      <c r="BA395">
        <f t="shared" si="346"/>
        <v>122.09795065885534</v>
      </c>
      <c r="BB395">
        <f t="shared" si="347"/>
        <v>1.5626060895739693</v>
      </c>
      <c r="BC395" s="41" t="str">
        <f t="shared" si="348"/>
        <v>-0,865557585446772+1,55715577734955i</v>
      </c>
      <c r="BD395">
        <f t="shared" si="349"/>
        <v>5.0159652996653223</v>
      </c>
      <c r="BE395" s="43">
        <f t="shared" si="350"/>
        <v>119.06784672216011</v>
      </c>
      <c r="BF395" s="41" t="str">
        <f t="shared" si="351"/>
        <v>0,313479808116483+0,302553975916722i</v>
      </c>
      <c r="BG395" s="20">
        <f t="shared" si="352"/>
        <v>-7.2168434647739446</v>
      </c>
      <c r="BH395" s="43">
        <f t="shared" si="353"/>
        <v>43.98392188344345</v>
      </c>
      <c r="BI395" s="41" t="str">
        <f t="shared" si="357"/>
        <v>0,0533274786599455+0,858565236428995i</v>
      </c>
      <c r="BJ395" s="20">
        <f t="shared" si="354"/>
        <v>-1.3078114192352375</v>
      </c>
      <c r="BK395" s="43">
        <f t="shared" si="358"/>
        <v>86.445792159122462</v>
      </c>
      <c r="BL395">
        <f t="shared" si="355"/>
        <v>-7.2168434647739446</v>
      </c>
      <c r="BM395" s="43">
        <f t="shared" si="356"/>
        <v>43.98392188344345</v>
      </c>
    </row>
    <row r="396" spans="14:65" x14ac:dyDescent="0.25">
      <c r="N396" s="9">
        <v>78</v>
      </c>
      <c r="O396" s="34">
        <f t="shared" si="359"/>
        <v>60255.95860743591</v>
      </c>
      <c r="P396" s="33" t="str">
        <f t="shared" si="309"/>
        <v>54,631621870174</v>
      </c>
      <c r="Q396" s="4" t="str">
        <f t="shared" si="310"/>
        <v>1+3017,91020566882i</v>
      </c>
      <c r="R396" s="4">
        <f t="shared" si="322"/>
        <v>3017.9103713463755</v>
      </c>
      <c r="S396" s="4">
        <f t="shared" si="323"/>
        <v>1.5704649716864767</v>
      </c>
      <c r="T396" s="4" t="str">
        <f t="shared" si="311"/>
        <v>1+7,57198707584526i</v>
      </c>
      <c r="U396" s="4">
        <f t="shared" si="324"/>
        <v>7.6377344989707288</v>
      </c>
      <c r="V396" s="4">
        <f t="shared" si="325"/>
        <v>1.4394904625957388</v>
      </c>
      <c r="W396" t="str">
        <f t="shared" si="312"/>
        <v>1-1,50657511447086i</v>
      </c>
      <c r="X396" s="4">
        <f t="shared" si="326"/>
        <v>1.8082501418617074</v>
      </c>
      <c r="Y396" s="4">
        <f t="shared" si="327"/>
        <v>-0.98481071175777724</v>
      </c>
      <c r="Z396" t="str">
        <f t="shared" si="313"/>
        <v>0,985476877809196+0,206991235484555i</v>
      </c>
      <c r="AA396" s="4">
        <f t="shared" si="328"/>
        <v>1.0069806593296533</v>
      </c>
      <c r="AB396" s="4">
        <f t="shared" si="329"/>
        <v>0.20703212943804353</v>
      </c>
      <c r="AC396" s="47" t="str">
        <f t="shared" si="330"/>
        <v>0,0609388624113587-0,240684093914375i</v>
      </c>
      <c r="AD396" s="20">
        <f t="shared" si="331"/>
        <v>-12.101206155890182</v>
      </c>
      <c r="AE396" s="43">
        <f t="shared" si="332"/>
        <v>-75.791851238098417</v>
      </c>
      <c r="AF396" t="str">
        <f t="shared" si="314"/>
        <v>171,265703090588</v>
      </c>
      <c r="AG396" t="str">
        <f t="shared" si="315"/>
        <v>1+2989,02875237902i</v>
      </c>
      <c r="AH396">
        <f t="shared" si="333"/>
        <v>2989.0289196574327</v>
      </c>
      <c r="AI396">
        <f t="shared" si="334"/>
        <v>1.5704617699720842</v>
      </c>
      <c r="AJ396" t="str">
        <f t="shared" si="316"/>
        <v>1+7,57198707584526i</v>
      </c>
      <c r="AK396">
        <f t="shared" si="335"/>
        <v>7.6377344989707288</v>
      </c>
      <c r="AL396">
        <f t="shared" si="336"/>
        <v>1.4394904625957388</v>
      </c>
      <c r="AM396" t="str">
        <f t="shared" si="317"/>
        <v>1-0,475979123698654i</v>
      </c>
      <c r="AN396">
        <f t="shared" si="337"/>
        <v>1.1074999441069686</v>
      </c>
      <c r="AO396">
        <f t="shared" si="338"/>
        <v>-0.44424691027943225</v>
      </c>
      <c r="AP396" s="41" t="str">
        <f t="shared" si="339"/>
        <v>0,406676068511597-0,263670624832579i</v>
      </c>
      <c r="AQ396">
        <f t="shared" si="340"/>
        <v>-6.2910288949572282</v>
      </c>
      <c r="AR396" s="43">
        <f t="shared" si="341"/>
        <v>-32.957576170713693</v>
      </c>
      <c r="AS396" t="str">
        <f t="shared" si="318"/>
        <v>-0,0000166666666666667</v>
      </c>
      <c r="AT396" t="str">
        <f t="shared" si="319"/>
        <v>0,000576228216471824i</v>
      </c>
      <c r="AU396">
        <f t="shared" si="342"/>
        <v>5.76228216471824E-4</v>
      </c>
      <c r="AV396">
        <f t="shared" si="343"/>
        <v>1.5707963267948966</v>
      </c>
      <c r="AW396" t="str">
        <f t="shared" si="320"/>
        <v>1+1,80593384266217i</v>
      </c>
      <c r="AX396">
        <f t="shared" si="344"/>
        <v>2.0643151513450055</v>
      </c>
      <c r="AY396">
        <f t="shared" si="345"/>
        <v>1.0650937961121405</v>
      </c>
      <c r="AZ396" t="str">
        <f t="shared" si="321"/>
        <v>1+124,937786751447i</v>
      </c>
      <c r="BA396">
        <f t="shared" si="346"/>
        <v>124.9417886791687</v>
      </c>
      <c r="BB396">
        <f t="shared" si="347"/>
        <v>1.5627925140794887</v>
      </c>
      <c r="BC396" s="41" t="str">
        <f t="shared" si="348"/>
        <v>-0,835742799219358+1,53821993021193i</v>
      </c>
      <c r="BD396">
        <f t="shared" si="349"/>
        <v>4.8637189547094808</v>
      </c>
      <c r="BE396" s="43">
        <f t="shared" si="350"/>
        <v>118.51603600860099</v>
      </c>
      <c r="BF396" s="41" t="str">
        <f t="shared" si="351"/>
        <v>0,319295854691179+0,294887371061169i</v>
      </c>
      <c r="BG396" s="20">
        <f t="shared" si="352"/>
        <v>-7.2374872011807065</v>
      </c>
      <c r="BH396" s="43">
        <f t="shared" si="353"/>
        <v>42.724184770502603</v>
      </c>
      <c r="BI396" s="41" t="str">
        <f t="shared" si="357"/>
        <v>0,0657068142555002+0,845918059794268i</v>
      </c>
      <c r="BJ396" s="20">
        <f t="shared" si="354"/>
        <v>-1.427309940247742</v>
      </c>
      <c r="BK396" s="43">
        <f t="shared" si="358"/>
        <v>85.558459837887312</v>
      </c>
      <c r="BL396">
        <f t="shared" si="355"/>
        <v>-7.2374872011807065</v>
      </c>
      <c r="BM396" s="43">
        <f t="shared" si="356"/>
        <v>42.724184770502603</v>
      </c>
    </row>
    <row r="397" spans="14:65" x14ac:dyDescent="0.25">
      <c r="N397" s="9">
        <v>79</v>
      </c>
      <c r="O397" s="34">
        <f t="shared" si="359"/>
        <v>61659.500186148245</v>
      </c>
      <c r="P397" s="33" t="str">
        <f t="shared" si="309"/>
        <v>54,631621870174</v>
      </c>
      <c r="Q397" s="4" t="str">
        <f t="shared" si="310"/>
        <v>1+3088,20636479347i</v>
      </c>
      <c r="R397" s="4">
        <f t="shared" si="322"/>
        <v>3088.2065266997447</v>
      </c>
      <c r="S397" s="4">
        <f t="shared" si="323"/>
        <v>1.5704725142490614</v>
      </c>
      <c r="T397" s="4" t="str">
        <f t="shared" si="311"/>
        <v>1+7,74836131235288i</v>
      </c>
      <c r="U397" s="4">
        <f t="shared" si="324"/>
        <v>7.8126245927195841</v>
      </c>
      <c r="V397" s="4">
        <f t="shared" si="325"/>
        <v>1.4424462572907479</v>
      </c>
      <c r="W397" t="str">
        <f t="shared" si="312"/>
        <v>1-1,54166775698261i</v>
      </c>
      <c r="X397" s="4">
        <f t="shared" si="326"/>
        <v>1.8375906706662917</v>
      </c>
      <c r="Y397" s="4">
        <f t="shared" si="327"/>
        <v>-0.99537199914993091</v>
      </c>
      <c r="Z397" t="str">
        <f t="shared" si="313"/>
        <v>0,984792424147177+0,21181268073488i</v>
      </c>
      <c r="AA397" s="4">
        <f t="shared" si="328"/>
        <v>1.0073136206652671</v>
      </c>
      <c r="AB397" s="4">
        <f t="shared" si="329"/>
        <v>0.2118560464362638</v>
      </c>
      <c r="AC397" s="47" t="str">
        <f t="shared" si="330"/>
        <v>0,0588388201053983-0,245164944489894i</v>
      </c>
      <c r="AD397" s="20">
        <f t="shared" si="331"/>
        <v>-11.96762430913564</v>
      </c>
      <c r="AE397" s="43">
        <f t="shared" si="332"/>
        <v>-76.504436112484683</v>
      </c>
      <c r="AF397" t="str">
        <f t="shared" si="314"/>
        <v>171,265703090588</v>
      </c>
      <c r="AG397" t="str">
        <f t="shared" si="315"/>
        <v>1+3058,65217603513i</v>
      </c>
      <c r="AH397">
        <f t="shared" si="333"/>
        <v>3058.6523395058221</v>
      </c>
      <c r="AI397">
        <f t="shared" si="334"/>
        <v>1.5704693854145708</v>
      </c>
      <c r="AJ397" t="str">
        <f t="shared" si="316"/>
        <v>1+7,74836131235288i</v>
      </c>
      <c r="AK397">
        <f t="shared" si="335"/>
        <v>7.8126245927195841</v>
      </c>
      <c r="AL397">
        <f t="shared" si="336"/>
        <v>1.4424462572907479</v>
      </c>
      <c r="AM397" t="str">
        <f t="shared" si="317"/>
        <v>1-0,487066101752766i</v>
      </c>
      <c r="AN397">
        <f t="shared" si="337"/>
        <v>1.1123099331915705</v>
      </c>
      <c r="AO397">
        <f t="shared" si="338"/>
        <v>-0.45324705561383755</v>
      </c>
      <c r="AP397" s="41" t="str">
        <f t="shared" si="339"/>
        <v>0,40667520779187-0,267179660392655i</v>
      </c>
      <c r="AQ397">
        <f t="shared" si="340"/>
        <v>-6.2567388426854915</v>
      </c>
      <c r="AR397" s="43">
        <f t="shared" si="341"/>
        <v>-33.304328284961855</v>
      </c>
      <c r="AS397" t="str">
        <f t="shared" si="318"/>
        <v>-0,0000166666666666667</v>
      </c>
      <c r="AT397" t="str">
        <f t="shared" si="319"/>
        <v>0,000589650295870054i</v>
      </c>
      <c r="AU397">
        <f t="shared" si="342"/>
        <v>5.8965029587005398E-4</v>
      </c>
      <c r="AV397">
        <f t="shared" si="343"/>
        <v>1.5707963267948966</v>
      </c>
      <c r="AW397" t="str">
        <f t="shared" si="320"/>
        <v>1+1,84799944571885i</v>
      </c>
      <c r="AX397">
        <f t="shared" si="344"/>
        <v>2.1012143991932799</v>
      </c>
      <c r="AY397">
        <f t="shared" si="345"/>
        <v>1.074791916229157</v>
      </c>
      <c r="AZ397" t="str">
        <f t="shared" si="321"/>
        <v>1+127,847961653823i</v>
      </c>
      <c r="BA397">
        <f t="shared" si="346"/>
        <v>127.85187248936714</v>
      </c>
      <c r="BB397">
        <f t="shared" si="347"/>
        <v>1.5629746955827681</v>
      </c>
      <c r="BC397" s="41" t="str">
        <f t="shared" si="348"/>
        <v>-0,806647713556735+1,51894986851465i</v>
      </c>
      <c r="BD397">
        <f t="shared" si="349"/>
        <v>4.7098190707574599</v>
      </c>
      <c r="BE397" s="43">
        <f t="shared" si="350"/>
        <v>117.97081288792812</v>
      </c>
      <c r="BF397" s="41" t="str">
        <f t="shared" si="351"/>
        <v>0,32493106049093+0,287134959979689i</v>
      </c>
      <c r="BG397" s="20">
        <f t="shared" si="352"/>
        <v>-7.2578052383781833</v>
      </c>
      <c r="BH397" s="43">
        <f t="shared" si="353"/>
        <v>41.466376775443514</v>
      </c>
      <c r="BI397" s="41" t="str">
        <f t="shared" si="357"/>
        <v>0,0777888834976901+0,833239115568229i</v>
      </c>
      <c r="BJ397" s="20">
        <f t="shared" si="354"/>
        <v>-1.5469197719280323</v>
      </c>
      <c r="BK397" s="43">
        <f t="shared" si="358"/>
        <v>84.666484602966293</v>
      </c>
      <c r="BL397">
        <f t="shared" si="355"/>
        <v>-7.2578052383781833</v>
      </c>
      <c r="BM397" s="43">
        <f t="shared" si="356"/>
        <v>41.466376775443514</v>
      </c>
    </row>
    <row r="398" spans="14:65" x14ac:dyDescent="0.25">
      <c r="N398" s="9">
        <v>80</v>
      </c>
      <c r="O398" s="34">
        <f t="shared" si="359"/>
        <v>63095.734448019342</v>
      </c>
      <c r="P398" s="33" t="str">
        <f t="shared" si="309"/>
        <v>54,631621870174</v>
      </c>
      <c r="Q398" s="4" t="str">
        <f t="shared" si="310"/>
        <v>1+3160,13993180998i</v>
      </c>
      <c r="R398" s="4">
        <f t="shared" si="322"/>
        <v>3160.1400900308181</v>
      </c>
      <c r="S398" s="4">
        <f t="shared" si="323"/>
        <v>1.5704798851219961</v>
      </c>
      <c r="T398" s="4" t="str">
        <f t="shared" si="311"/>
        <v>1+7,92884383259i</v>
      </c>
      <c r="U398" s="4">
        <f t="shared" si="324"/>
        <v>7.9916559311321995</v>
      </c>
      <c r="V398" s="4">
        <f t="shared" si="325"/>
        <v>1.4453369506019249</v>
      </c>
      <c r="W398" t="str">
        <f t="shared" si="312"/>
        <v>1-1,57757781214549i</v>
      </c>
      <c r="X398" s="4">
        <f t="shared" si="326"/>
        <v>1.8678200537990137</v>
      </c>
      <c r="Y398" s="4">
        <f t="shared" si="327"/>
        <v>-1.0058346127033992</v>
      </c>
      <c r="Z398" t="str">
        <f t="shared" si="313"/>
        <v>0,98407571317786+0,216746431872203i</v>
      </c>
      <c r="AA398" s="4">
        <f t="shared" si="328"/>
        <v>1.0076626543619871</v>
      </c>
      <c r="AB398" s="4">
        <f t="shared" si="329"/>
        <v>0.21679239130001987</v>
      </c>
      <c r="AC398" s="47" t="str">
        <f t="shared" si="330"/>
        <v>0,0566427477291635-0,249748326945223i</v>
      </c>
      <c r="AD398" s="20">
        <f t="shared" si="331"/>
        <v>-11.832111865529267</v>
      </c>
      <c r="AE398" s="43">
        <f t="shared" si="332"/>
        <v>-77.221529232002453</v>
      </c>
      <c r="AF398" t="str">
        <f t="shared" si="314"/>
        <v>171,265703090588</v>
      </c>
      <c r="AG398" t="str">
        <f t="shared" si="315"/>
        <v>1+3129,89733756102i</v>
      </c>
      <c r="AH398">
        <f t="shared" si="333"/>
        <v>3129.8974973106647</v>
      </c>
      <c r="AI398">
        <f t="shared" si="334"/>
        <v>1.5704768275084591</v>
      </c>
      <c r="AJ398" t="str">
        <f t="shared" si="316"/>
        <v>1+7,92884383259i</v>
      </c>
      <c r="AK398">
        <f t="shared" si="335"/>
        <v>7.9916559311321995</v>
      </c>
      <c r="AL398">
        <f t="shared" si="336"/>
        <v>1.4453369506019249</v>
      </c>
      <c r="AM398" t="str">
        <f t="shared" si="317"/>
        <v>1-0,498411328701109i</v>
      </c>
      <c r="AN398">
        <f t="shared" si="337"/>
        <v>1.1173244168895644</v>
      </c>
      <c r="AO398">
        <f t="shared" si="338"/>
        <v>-0.46237586449327051</v>
      </c>
      <c r="AP398" s="41" t="str">
        <f t="shared" si="339"/>
        <v>0,406674385810903-0,270830358119874i</v>
      </c>
      <c r="AQ398">
        <f t="shared" si="340"/>
        <v>-6.220872916512902</v>
      </c>
      <c r="AR398" s="43">
        <f t="shared" si="341"/>
        <v>-33.662172379708281</v>
      </c>
      <c r="AS398" t="str">
        <f t="shared" si="318"/>
        <v>-0,0000166666666666667</v>
      </c>
      <c r="AT398" t="str">
        <f t="shared" si="319"/>
        <v>0,000603385015660099i</v>
      </c>
      <c r="AU398">
        <f t="shared" si="342"/>
        <v>6.0338501566009899E-4</v>
      </c>
      <c r="AV398">
        <f t="shared" si="343"/>
        <v>1.5707963267948966</v>
      </c>
      <c r="AW398" t="str">
        <f t="shared" si="320"/>
        <v>1+1,89104488254282i</v>
      </c>
      <c r="AX398">
        <f t="shared" si="344"/>
        <v>2.1391705747301657</v>
      </c>
      <c r="AY398">
        <f t="shared" si="345"/>
        <v>1.0843686623309348</v>
      </c>
      <c r="AZ398" t="str">
        <f t="shared" si="321"/>
        <v>1+130,825923237735i</v>
      </c>
      <c r="BA398">
        <f t="shared" si="346"/>
        <v>130.82974505442456</v>
      </c>
      <c r="BB398">
        <f t="shared" si="347"/>
        <v>1.5631527306304507</v>
      </c>
      <c r="BC398" s="41" t="str">
        <f t="shared" si="348"/>
        <v>-0,77827631083794+1,49937737807467i</v>
      </c>
      <c r="BD398">
        <f t="shared" si="349"/>
        <v>4.5543061575202861</v>
      </c>
      <c r="BE398" s="43">
        <f t="shared" si="350"/>
        <v>117.43230641166564</v>
      </c>
      <c r="BF398" s="41" t="str">
        <f t="shared" si="351"/>
        <v>0,330383282895286+0,279302061109974i</v>
      </c>
      <c r="BG398" s="20">
        <f t="shared" si="352"/>
        <v>-7.2778057080089891</v>
      </c>
      <c r="BH398" s="43">
        <f t="shared" si="353"/>
        <v>40.210777179663239</v>
      </c>
      <c r="BI398" s="41" t="str">
        <f t="shared" si="357"/>
        <v>0,0895718715596059+0,820539226307732i</v>
      </c>
      <c r="BJ398" s="20">
        <f t="shared" si="354"/>
        <v>-1.6665667589926179</v>
      </c>
      <c r="BK398" s="43">
        <f t="shared" si="358"/>
        <v>83.770134031957369</v>
      </c>
      <c r="BL398">
        <f t="shared" si="355"/>
        <v>-7.2778057080089891</v>
      </c>
      <c r="BM398" s="43">
        <f t="shared" si="356"/>
        <v>40.210777179663239</v>
      </c>
    </row>
    <row r="399" spans="14:65" x14ac:dyDescent="0.25">
      <c r="N399" s="9">
        <v>81</v>
      </c>
      <c r="O399" s="34">
        <f t="shared" si="359"/>
        <v>64565.422903465682</v>
      </c>
      <c r="P399" s="33" t="str">
        <f t="shared" si="309"/>
        <v>54,631621870174</v>
      </c>
      <c r="Q399" s="4" t="str">
        <f t="shared" si="310"/>
        <v>1+3233,74904684774i</v>
      </c>
      <c r="R399" s="4">
        <f t="shared" si="322"/>
        <v>3233.749201467032</v>
      </c>
      <c r="S399" s="4">
        <f t="shared" si="323"/>
        <v>1.5704870882134121</v>
      </c>
      <c r="T399" s="4" t="str">
        <f t="shared" si="311"/>
        <v>1+8,11353033077784i</v>
      </c>
      <c r="U399" s="4">
        <f t="shared" si="324"/>
        <v>8.1749235120857229</v>
      </c>
      <c r="V399" s="4">
        <f t="shared" si="325"/>
        <v>1.4481638818706311</v>
      </c>
      <c r="W399" t="str">
        <f t="shared" si="312"/>
        <v>1-1,61432431994608i</v>
      </c>
      <c r="X399" s="4">
        <f t="shared" si="326"/>
        <v>1.8989584013267309</v>
      </c>
      <c r="Y399" s="4">
        <f t="shared" si="327"/>
        <v>-1.0161949371596746</v>
      </c>
      <c r="Z399" t="str">
        <f t="shared" si="313"/>
        <v>0,983325224661187+0,221795104836684i</v>
      </c>
      <c r="AA399" s="4">
        <f t="shared" si="328"/>
        <v>1.0080285541513641</v>
      </c>
      <c r="AB399" s="4">
        <f t="shared" si="329"/>
        <v>0.22184378208911948</v>
      </c>
      <c r="AC399" s="47" t="str">
        <f t="shared" si="330"/>
        <v>0,0543464003361564-0,254434736512601i</v>
      </c>
      <c r="AD399" s="20">
        <f t="shared" si="331"/>
        <v>-11.694718521022017</v>
      </c>
      <c r="AE399" s="43">
        <f t="shared" si="332"/>
        <v>-77.942996946687018</v>
      </c>
      <c r="AF399" t="str">
        <f t="shared" si="314"/>
        <v>171,265703090588</v>
      </c>
      <c r="AG399" t="str">
        <f t="shared" si="315"/>
        <v>1+3202,80201208439i</v>
      </c>
      <c r="AH399">
        <f t="shared" si="333"/>
        <v>3202.8021681976888</v>
      </c>
      <c r="AI399">
        <f t="shared" si="334"/>
        <v>1.5704841001996428</v>
      </c>
      <c r="AJ399" t="str">
        <f t="shared" si="316"/>
        <v>1+8,11353033077784i</v>
      </c>
      <c r="AK399">
        <f t="shared" si="335"/>
        <v>8.1749235120857229</v>
      </c>
      <c r="AL399">
        <f t="shared" si="336"/>
        <v>1.4481638818706311</v>
      </c>
      <c r="AM399" t="str">
        <f t="shared" si="317"/>
        <v>1-0,510020819933186i</v>
      </c>
      <c r="AN399">
        <f t="shared" si="337"/>
        <v>1.1225512178806449</v>
      </c>
      <c r="AO399">
        <f t="shared" si="338"/>
        <v>-0.47163209016829349</v>
      </c>
      <c r="AP399" s="41" t="str">
        <f t="shared" si="339"/>
        <v>0,406673600825166-0,274624653664187i</v>
      </c>
      <c r="AQ399">
        <f t="shared" si="340"/>
        <v>-6.1833969750032676</v>
      </c>
      <c r="AR399" s="43">
        <f t="shared" si="341"/>
        <v>-34.030960508947857</v>
      </c>
      <c r="AS399" t="str">
        <f t="shared" si="318"/>
        <v>-0,0000166666666666667</v>
      </c>
      <c r="AT399" t="str">
        <f t="shared" si="319"/>
        <v>0,000617439658172194i</v>
      </c>
      <c r="AU399">
        <f t="shared" si="342"/>
        <v>6.1743965817219395E-4</v>
      </c>
      <c r="AV399">
        <f t="shared" si="343"/>
        <v>1.5707963267948966</v>
      </c>
      <c r="AW399" t="str">
        <f t="shared" si="320"/>
        <v>1+1,93509297639445i</v>
      </c>
      <c r="AX399">
        <f t="shared" si="344"/>
        <v>2.1782067916731713</v>
      </c>
      <c r="AY399">
        <f t="shared" si="345"/>
        <v>1.0938220847431464</v>
      </c>
      <c r="AZ399" t="str">
        <f t="shared" si="321"/>
        <v>1+133,873250457834i</v>
      </c>
      <c r="BA399">
        <f t="shared" si="346"/>
        <v>133.87698528180991</v>
      </c>
      <c r="BB399">
        <f t="shared" si="347"/>
        <v>1.5633267135739053</v>
      </c>
      <c r="BC399" s="41" t="str">
        <f t="shared" si="348"/>
        <v>-0,750630882119066+1,47953373892245i</v>
      </c>
      <c r="BD399">
        <f t="shared" si="349"/>
        <v>4.397220901707585</v>
      </c>
      <c r="BE399" s="43">
        <f t="shared" si="350"/>
        <v>116.90063369385871</v>
      </c>
      <c r="BF399" s="41" t="str">
        <f t="shared" si="351"/>
        <v>0,335650690599912+0,271393903596516i</v>
      </c>
      <c r="BG399" s="20">
        <f t="shared" si="352"/>
        <v>-7.297497619314429</v>
      </c>
      <c r="BH399" s="43">
        <f t="shared" si="353"/>
        <v>38.957636747171755</v>
      </c>
      <c r="BI399" s="41" t="str">
        <f t="shared" si="357"/>
        <v>0,101054676914126+0,807829059181505i</v>
      </c>
      <c r="BJ399" s="20">
        <f t="shared" si="354"/>
        <v>-1.7861760732956884</v>
      </c>
      <c r="BK399" s="43">
        <f t="shared" si="358"/>
        <v>82.86967318491088</v>
      </c>
      <c r="BL399">
        <f t="shared" si="355"/>
        <v>-7.297497619314429</v>
      </c>
      <c r="BM399" s="43">
        <f t="shared" si="356"/>
        <v>38.957636747171755</v>
      </c>
    </row>
    <row r="400" spans="14:65" x14ac:dyDescent="0.25">
      <c r="N400" s="9">
        <v>82</v>
      </c>
      <c r="O400" s="34">
        <f t="shared" si="359"/>
        <v>66069.344800759733</v>
      </c>
      <c r="P400" s="33" t="str">
        <f t="shared" si="309"/>
        <v>54,631621870174</v>
      </c>
      <c r="Q400" s="4" t="str">
        <f t="shared" si="310"/>
        <v>1+3309,07273843386i</v>
      </c>
      <c r="R400" s="4">
        <f t="shared" si="322"/>
        <v>3309.0728895335874</v>
      </c>
      <c r="S400" s="4">
        <f t="shared" si="323"/>
        <v>1.5704941273424808</v>
      </c>
      <c r="T400" s="4" t="str">
        <f t="shared" si="311"/>
        <v>1+8,30251873014232i</v>
      </c>
      <c r="U400" s="4">
        <f t="shared" si="324"/>
        <v>8.362524574813758</v>
      </c>
      <c r="V400" s="4">
        <f t="shared" si="325"/>
        <v>1.4509283691443566</v>
      </c>
      <c r="W400" t="str">
        <f t="shared" si="312"/>
        <v>1-1,65192676386922i</v>
      </c>
      <c r="X400" s="4">
        <f t="shared" si="326"/>
        <v>1.9310261606688384</v>
      </c>
      <c r="Y400" s="4">
        <f t="shared" si="327"/>
        <v>-1.026449569051922</v>
      </c>
      <c r="Z400" t="str">
        <f t="shared" si="313"/>
        <v>0,982539366710393+0,226961376501554i</v>
      </c>
      <c r="AA400" s="4">
        <f t="shared" si="328"/>
        <v>1.008412154607004</v>
      </c>
      <c r="AB400" s="4">
        <f t="shared" si="329"/>
        <v>0.22701289715662493</v>
      </c>
      <c r="AC400" s="47" t="str">
        <f t="shared" si="330"/>
        <v>0,0519453602211541-0,25922458829556i</v>
      </c>
      <c r="AD400" s="20">
        <f t="shared" si="331"/>
        <v>-11.555494939509547</v>
      </c>
      <c r="AE400" s="43">
        <f t="shared" si="332"/>
        <v>-78.668722410843557</v>
      </c>
      <c r="AF400" t="str">
        <f t="shared" si="314"/>
        <v>171,265703090588</v>
      </c>
      <c r="AG400" t="str">
        <f t="shared" si="315"/>
        <v>1+3277,40485462866i</v>
      </c>
      <c r="AH400">
        <f t="shared" si="333"/>
        <v>3277.4050071883862</v>
      </c>
      <c r="AI400">
        <f t="shared" si="334"/>
        <v>1.5704912073441961</v>
      </c>
      <c r="AJ400" t="str">
        <f t="shared" si="316"/>
        <v>1+8,30251873014232i</v>
      </c>
      <c r="AK400">
        <f t="shared" si="335"/>
        <v>8.362524574813758</v>
      </c>
      <c r="AL400">
        <f t="shared" si="336"/>
        <v>1.4509283691443566</v>
      </c>
      <c r="AM400" t="str">
        <f t="shared" si="317"/>
        <v>1-0,521900730954914i</v>
      </c>
      <c r="AN400">
        <f t="shared" si="337"/>
        <v>1.127998392273355</v>
      </c>
      <c r="AO400">
        <f t="shared" si="338"/>
        <v>-0.48101429506844873</v>
      </c>
      <c r="AP400" s="41" t="str">
        <f t="shared" si="339"/>
        <v>0,406672851169602-0,278564558812891i</v>
      </c>
      <c r="AQ400">
        <f t="shared" si="340"/>
        <v>-6.144276468312535</v>
      </c>
      <c r="AR400" s="43">
        <f t="shared" si="341"/>
        <v>-34.410535008338769</v>
      </c>
      <c r="AS400" t="str">
        <f t="shared" si="318"/>
        <v>-0,0000166666666666667</v>
      </c>
      <c r="AT400" t="str">
        <f t="shared" si="319"/>
        <v>0,00063182167536383i</v>
      </c>
      <c r="AU400">
        <f t="shared" si="342"/>
        <v>6.3182167536383004E-4</v>
      </c>
      <c r="AV400">
        <f t="shared" si="343"/>
        <v>1.5707963267948966</v>
      </c>
      <c r="AW400" t="str">
        <f t="shared" si="320"/>
        <v>1+1,98016708215615i</v>
      </c>
      <c r="AX400">
        <f t="shared" si="344"/>
        <v>2.2183466080066929</v>
      </c>
      <c r="AY400">
        <f t="shared" si="345"/>
        <v>1.1031504363271412</v>
      </c>
      <c r="AZ400" t="str">
        <f t="shared" si="321"/>
        <v>1+136,991559047348i</v>
      </c>
      <c r="BA400">
        <f t="shared" si="346"/>
        <v>136.99520885864234</v>
      </c>
      <c r="BB400">
        <f t="shared" si="347"/>
        <v>1.5634967366190349</v>
      </c>
      <c r="BC400" s="41" t="str">
        <f t="shared" si="348"/>
        <v>-0,723712103336173+1,45944963500936i</v>
      </c>
      <c r="BD400">
        <f t="shared" si="349"/>
        <v>4.2386040741119153</v>
      </c>
      <c r="BE400" s="43">
        <f t="shared" si="350"/>
        <v>116.37590012118739</v>
      </c>
      <c r="BF400" s="41" t="str">
        <f t="shared" si="351"/>
        <v>0,3407317448692+0,263415609047026i</v>
      </c>
      <c r="BG400" s="20">
        <f t="shared" si="352"/>
        <v>-7.3168908653976361</v>
      </c>
      <c r="BH400" s="43">
        <f t="shared" si="353"/>
        <v>37.707177710343835</v>
      </c>
      <c r="BI400" s="41" t="str">
        <f t="shared" si="357"/>
        <v>0,112236879196346+0,795119086981082i</v>
      </c>
      <c r="BJ400" s="20">
        <f t="shared" si="354"/>
        <v>-1.9056723942006173</v>
      </c>
      <c r="BK400" s="43">
        <f t="shared" si="358"/>
        <v>81.965365112848644</v>
      </c>
      <c r="BL400">
        <f t="shared" si="355"/>
        <v>-7.3168908653976361</v>
      </c>
      <c r="BM400" s="43">
        <f t="shared" si="356"/>
        <v>37.707177710343835</v>
      </c>
    </row>
    <row r="401" spans="14:65" x14ac:dyDescent="0.25">
      <c r="N401" s="9">
        <v>83</v>
      </c>
      <c r="O401" s="34">
        <f t="shared" si="359"/>
        <v>67608.297539198305</v>
      </c>
      <c r="P401" s="33" t="str">
        <f t="shared" si="309"/>
        <v>54,631621870174</v>
      </c>
      <c r="Q401" s="4" t="str">
        <f t="shared" si="310"/>
        <v>1+3386,15094418665i</v>
      </c>
      <c r="R401" s="4">
        <f t="shared" si="322"/>
        <v>3386.1510918469276</v>
      </c>
      <c r="S401" s="4">
        <f t="shared" si="323"/>
        <v>1.5705010062414388</v>
      </c>
      <c r="T401" s="4" t="str">
        <f t="shared" si="311"/>
        <v>1+8,49590923483434i</v>
      </c>
      <c r="U401" s="4">
        <f t="shared" si="324"/>
        <v>8.5545586517682732</v>
      </c>
      <c r="V401" s="4">
        <f t="shared" si="325"/>
        <v>1.4536317090818929</v>
      </c>
      <c r="W401" t="str">
        <f t="shared" si="312"/>
        <v>1-1,6904050812284i</v>
      </c>
      <c r="X401" s="4">
        <f t="shared" si="326"/>
        <v>1.9640441284866268</v>
      </c>
      <c r="Y401" s="4">
        <f t="shared" si="327"/>
        <v>-1.0365953182933489</v>
      </c>
      <c r="Z401" t="str">
        <f t="shared" si="313"/>
        <v>0,981716472415405+0,232247986092434i</v>
      </c>
      <c r="AA401" s="4">
        <f t="shared" si="328"/>
        <v>1.0088143333913027</v>
      </c>
      <c r="AB401" s="4">
        <f t="shared" si="329"/>
        <v>0.23230247642837004</v>
      </c>
      <c r="AC401" s="47" t="str">
        <f t="shared" si="330"/>
        <v>0,049435031407468-0,264118208313321i</v>
      </c>
      <c r="AD401" s="20">
        <f t="shared" si="331"/>
        <v>-11.414492667716633</v>
      </c>
      <c r="AE401" s="43">
        <f t="shared" si="332"/>
        <v>-79.398605752914307</v>
      </c>
      <c r="AF401" t="str">
        <f t="shared" si="314"/>
        <v>171,265703090588</v>
      </c>
      <c r="AG401" t="str">
        <f t="shared" si="315"/>
        <v>1+3353,74542060843i</v>
      </c>
      <c r="AH401">
        <f t="shared" si="333"/>
        <v>3353.7455696954739</v>
      </c>
      <c r="AI401">
        <f t="shared" si="334"/>
        <v>1.570498152710418</v>
      </c>
      <c r="AJ401" t="str">
        <f t="shared" si="316"/>
        <v>1+8,49590923483434i</v>
      </c>
      <c r="AK401">
        <f t="shared" si="335"/>
        <v>8.5545586517682732</v>
      </c>
      <c r="AL401">
        <f t="shared" si="336"/>
        <v>1.4536317090818929</v>
      </c>
      <c r="AM401" t="str">
        <f t="shared" si="317"/>
        <v>1-0,534057360652366i</v>
      </c>
      <c r="AN401">
        <f t="shared" si="337"/>
        <v>1.1336742320732933</v>
      </c>
      <c r="AO401">
        <f t="shared" si="338"/>
        <v>-0.49052084587001499</v>
      </c>
      <c r="AP401" s="41" t="str">
        <f t="shared" si="339"/>
        <v>0,406672135254087-0,282652162557321i</v>
      </c>
      <c r="AQ401">
        <f t="shared" si="340"/>
        <v>-6.1034765301124407</v>
      </c>
      <c r="AR401" s="43">
        <f t="shared" si="341"/>
        <v>-34.800728218157111</v>
      </c>
      <c r="AS401" t="str">
        <f t="shared" si="318"/>
        <v>-0,0000166666666666667</v>
      </c>
      <c r="AT401" t="str">
        <f t="shared" si="319"/>
        <v>0,000646538692770893i</v>
      </c>
      <c r="AU401">
        <f t="shared" si="342"/>
        <v>6.4653869277089295E-4</v>
      </c>
      <c r="AV401">
        <f t="shared" si="343"/>
        <v>1.5707963267948966</v>
      </c>
      <c r="AW401" t="str">
        <f t="shared" si="320"/>
        <v>1+2,02629109871542i</v>
      </c>
      <c r="AX401">
        <f t="shared" si="344"/>
        <v>2.2596140415419055</v>
      </c>
      <c r="AY401">
        <f t="shared" si="345"/>
        <v>1.1123521683076381</v>
      </c>
      <c r="AZ401" t="str">
        <f t="shared" si="321"/>
        <v>1+140,182502374767i</v>
      </c>
      <c r="BA401">
        <f t="shared" si="346"/>
        <v>140.18606910835169</v>
      </c>
      <c r="BB401">
        <f t="shared" si="347"/>
        <v>1.5636628898749665</v>
      </c>
      <c r="BC401" s="41" t="str">
        <f t="shared" si="348"/>
        <v>-0,697519115606498+1,43915507248132i</v>
      </c>
      <c r="BD401">
        <f t="shared" si="349"/>
        <v>4.078496441094841</v>
      </c>
      <c r="BE401" s="43">
        <f t="shared" si="350"/>
        <v>115.85819959481181</v>
      </c>
      <c r="BF401" s="41" t="str">
        <f t="shared" si="351"/>
        <v>0,345625179841477+0,255372175286611i</v>
      </c>
      <c r="BG401" s="20">
        <f t="shared" si="352"/>
        <v>-7.3359962266218037</v>
      </c>
      <c r="BH401" s="43">
        <f t="shared" si="353"/>
        <v>36.459593841897522</v>
      </c>
      <c r="BI401" s="41" t="str">
        <f t="shared" si="357"/>
        <v>0,123118705367946+0,782419552738975i</v>
      </c>
      <c r="BJ401" s="20">
        <f t="shared" si="354"/>
        <v>-2.0249800890176055</v>
      </c>
      <c r="BK401" s="43">
        <f t="shared" si="358"/>
        <v>81.057471376654746</v>
      </c>
      <c r="BL401">
        <f t="shared" si="355"/>
        <v>-7.3359962266218037</v>
      </c>
      <c r="BM401" s="43">
        <f t="shared" si="356"/>
        <v>36.459593841897522</v>
      </c>
    </row>
    <row r="402" spans="14:65" x14ac:dyDescent="0.25">
      <c r="N402" s="9">
        <v>84</v>
      </c>
      <c r="O402" s="34">
        <f t="shared" si="359"/>
        <v>69183.097091893651</v>
      </c>
      <c r="P402" s="33" t="str">
        <f t="shared" si="309"/>
        <v>54,631621870174</v>
      </c>
      <c r="Q402" s="4" t="str">
        <f t="shared" si="310"/>
        <v>1+3465,02453199105i</v>
      </c>
      <c r="R402" s="4">
        <f t="shared" si="322"/>
        <v>3465.0246762901697</v>
      </c>
      <c r="S402" s="4">
        <f t="shared" si="323"/>
        <v>1.5705077285575668</v>
      </c>
      <c r="T402" s="4" t="str">
        <f t="shared" si="311"/>
        <v>1+8,6938043830593i</v>
      </c>
      <c r="U402" s="4">
        <f t="shared" si="324"/>
        <v>8.7511276216783127</v>
      </c>
      <c r="V402" s="4">
        <f t="shared" si="325"/>
        <v>1.4562751768957594</v>
      </c>
      <c r="W402" t="str">
        <f t="shared" si="312"/>
        <v>1-1,7297796737368i</v>
      </c>
      <c r="X402" s="4">
        <f t="shared" si="326"/>
        <v>1.9980334631014043</v>
      </c>
      <c r="Y402" s="4">
        <f t="shared" si="327"/>
        <v>-1.0466292088749383</v>
      </c>
      <c r="Z402" t="str">
        <f t="shared" si="313"/>
        <v>0,980854796307094+0,237657736639705i</v>
      </c>
      <c r="AA402" s="4">
        <f t="shared" si="328"/>
        <v>1.0092360136377112</v>
      </c>
      <c r="AB402" s="4">
        <f t="shared" si="329"/>
        <v>0.2377153226945001</v>
      </c>
      <c r="AC402" s="47" t="str">
        <f t="shared" si="330"/>
        <v>0,0468106341277765-0,269115823901175i</v>
      </c>
      <c r="AD402" s="20">
        <f t="shared" si="331"/>
        <v>-11.271764052283899</v>
      </c>
      <c r="AE402" s="43">
        <f t="shared" si="332"/>
        <v>-80.132564192867264</v>
      </c>
      <c r="AF402" t="str">
        <f t="shared" si="314"/>
        <v>171,265703090588</v>
      </c>
      <c r="AG402" t="str">
        <f t="shared" si="315"/>
        <v>1+3431,86418680227i</v>
      </c>
      <c r="AH402">
        <f t="shared" si="333"/>
        <v>3431.8643324956784</v>
      </c>
      <c r="AI402">
        <f t="shared" si="334"/>
        <v>1.5705049399808311</v>
      </c>
      <c r="AJ402" t="str">
        <f t="shared" si="316"/>
        <v>1+8,6938043830593i</v>
      </c>
      <c r="AK402">
        <f t="shared" si="335"/>
        <v>8.7511276216783127</v>
      </c>
      <c r="AL402">
        <f t="shared" si="336"/>
        <v>1.4562751768957594</v>
      </c>
      <c r="AM402" t="str">
        <f t="shared" si="317"/>
        <v>1-0,54649715463152i</v>
      </c>
      <c r="AN402">
        <f t="shared" si="337"/>
        <v>1.1395872674000651</v>
      </c>
      <c r="AO402">
        <f t="shared" si="338"/>
        <v>-0.50014990903167522</v>
      </c>
      <c r="AP402" s="41" t="str">
        <f t="shared" si="339"/>
        <v>0,406671451560074-0,286889632200461i</v>
      </c>
      <c r="AQ402">
        <f t="shared" si="340"/>
        <v>-6.0609620738567385</v>
      </c>
      <c r="AR402" s="43">
        <f t="shared" si="341"/>
        <v>-35.20136223092095</v>
      </c>
      <c r="AS402" t="str">
        <f t="shared" si="318"/>
        <v>-0,0000166666666666667</v>
      </c>
      <c r="AT402" t="str">
        <f t="shared" si="319"/>
        <v>0,000661598513550813i</v>
      </c>
      <c r="AU402">
        <f t="shared" si="342"/>
        <v>6.6159851355081299E-4</v>
      </c>
      <c r="AV402">
        <f t="shared" si="343"/>
        <v>1.5707963267948966</v>
      </c>
      <c r="AW402" t="str">
        <f t="shared" si="320"/>
        <v>1+2,07348948163635i</v>
      </c>
      <c r="AX402">
        <f t="shared" si="344"/>
        <v>2.3020335858663268</v>
      </c>
      <c r="AY402">
        <f t="shared" si="345"/>
        <v>1.1214259256009034</v>
      </c>
      <c r="AZ402" t="str">
        <f t="shared" si="321"/>
        <v>1+143,447772320478i</v>
      </c>
      <c r="BA402">
        <f t="shared" si="346"/>
        <v>143.45125786728985</v>
      </c>
      <c r="BB402">
        <f t="shared" si="347"/>
        <v>1.5638252614016384</v>
      </c>
      <c r="BC402" s="41" t="str">
        <f t="shared" si="348"/>
        <v>-0,672049608745096+1,41867930652823i</v>
      </c>
      <c r="BD402">
        <f t="shared" si="349"/>
        <v>3.9169386806784043</v>
      </c>
      <c r="BE402" s="43">
        <f t="shared" si="350"/>
        <v>115.34761480077296</v>
      </c>
      <c r="BF402" s="41" t="str">
        <f t="shared" si="351"/>
        <v>0,35032998207721+0,247268462122439i</v>
      </c>
      <c r="BG402" s="20">
        <f t="shared" si="352"/>
        <v>-7.3548253716055019</v>
      </c>
      <c r="BH402" s="43">
        <f t="shared" si="353"/>
        <v>35.215050607905695</v>
      </c>
      <c r="BI402" s="41" t="str">
        <f t="shared" si="357"/>
        <v>0,133700994551541+0,769740437957419i</v>
      </c>
      <c r="BJ402" s="20">
        <f t="shared" si="354"/>
        <v>-2.1440233931783288</v>
      </c>
      <c r="BK402" s="43">
        <f t="shared" si="358"/>
        <v>80.146252569852052</v>
      </c>
      <c r="BL402">
        <f t="shared" si="355"/>
        <v>-7.3548253716055019</v>
      </c>
      <c r="BM402" s="43">
        <f t="shared" si="356"/>
        <v>35.215050607905695</v>
      </c>
    </row>
    <row r="403" spans="14:65" x14ac:dyDescent="0.25">
      <c r="N403" s="9">
        <v>85</v>
      </c>
      <c r="O403" s="34">
        <f t="shared" si="359"/>
        <v>70794.578438413781</v>
      </c>
      <c r="P403" s="33" t="str">
        <f t="shared" ref="P403:P466" si="360">COMPLEX(Adc,0)</f>
        <v>54,631621870174</v>
      </c>
      <c r="Q403" s="4" t="str">
        <f t="shared" ref="Q403:Q466" si="361">IMSUM(COMPLEX(1,0),IMDIV(COMPLEX(0,2*PI()*O403),COMPLEX(wp_lf,0)))</f>
        <v>1+3545,73532166734i</v>
      </c>
      <c r="R403" s="4">
        <f t="shared" si="322"/>
        <v>3545.7354626818105</v>
      </c>
      <c r="S403" s="4">
        <f t="shared" si="323"/>
        <v>1.5705142978551234</v>
      </c>
      <c r="T403" s="4" t="str">
        <f t="shared" ref="T403:T466" si="362">IMSUM(COMPLEX(1,0),IMDIV(COMPLEX(0,2*PI()*O403),COMPLEX(wz_esr,0)))</f>
        <v>1+8,89630910144428i</v>
      </c>
      <c r="U403" s="4">
        <f t="shared" si="324"/>
        <v>8.9523357638350625</v>
      </c>
      <c r="V403" s="4">
        <f t="shared" si="325"/>
        <v>1.4588600263290739</v>
      </c>
      <c r="W403" t="str">
        <f t="shared" ref="W403:W466" si="363">IMSUB(COMPLEX(1,0),IMDIV(COMPLEX(0,2*PI()*O403),COMPLEX(wz_rhp,0)))</f>
        <v>1-1,77007141832455i</v>
      </c>
      <c r="X403" s="4">
        <f t="shared" si="326"/>
        <v>2.0330156974232847</v>
      </c>
      <c r="Y403" s="4">
        <f t="shared" si="327"/>
        <v>-1.0565484787117096</v>
      </c>
      <c r="Z403" t="str">
        <f t="shared" ref="Z403:Z466" si="364">IMSUM(COMPLEX(1,0),IMDIV(COMPLEX(0,2*PI()*O403),COMPLEX(Q*(wsl/2),0)),IMDIV(IMPOWER(COMPLEX(0,2*PI()*O403),2),IMPOWER(COMPLEX(wsl/2,0),2)))</f>
        <v>0,979952510654909+0,243193496464715i</v>
      </c>
      <c r="AA403" s="4">
        <f t="shared" si="328"/>
        <v>1.0096781664776122</v>
      </c>
      <c r="AB403" s="4">
        <f t="shared" si="329"/>
        <v>0.24325430291104078</v>
      </c>
      <c r="AC403" s="47" t="str">
        <f t="shared" si="330"/>
        <v>0,0440671993223863-0,274217553426841i</v>
      </c>
      <c r="AD403" s="20">
        <f t="shared" si="331"/>
        <v>-11.127362159678997</v>
      </c>
      <c r="AE403" s="43">
        <f t="shared" si="332"/>
        <v>-80.870532109398539</v>
      </c>
      <c r="AF403" t="str">
        <f t="shared" ref="AF403:AF466" si="365">COMPLEX($B$72,0)</f>
        <v>171,265703090588</v>
      </c>
      <c r="AG403" t="str">
        <f t="shared" ref="AG403:AG466" si="366">IMSUM(COMPLEX(1,0),IMDIV(COMPLEX(0,2*PI()*O403),COMPLEX(wp_lf_DCM,0)))</f>
        <v>1+3511,80257281405i</v>
      </c>
      <c r="AH403">
        <f t="shared" si="333"/>
        <v>3511.8027151910715</v>
      </c>
      <c r="AI403">
        <f t="shared" si="334"/>
        <v>1.5705115727541332</v>
      </c>
      <c r="AJ403" t="str">
        <f t="shared" ref="AJ403:AJ466" si="367">IMSUM(COMPLEX(1,0),IMDIV(COMPLEX(0,2*PI()*O403),COMPLEX(wz1_dcm,0)))</f>
        <v>1+8,89630910144428i</v>
      </c>
      <c r="AK403">
        <f t="shared" si="335"/>
        <v>8.9523357638350625</v>
      </c>
      <c r="AL403">
        <f t="shared" si="336"/>
        <v>1.4588600263290739</v>
      </c>
      <c r="AM403" t="str">
        <f t="shared" ref="AM403:AM466" si="368">IMSUB(COMPLEX(1,0),IMDIV(COMPLEX(0,2*PI()*O403),COMPLEX(wz2_dcm,0)))</f>
        <v>1-0,559226708635806i</v>
      </c>
      <c r="AN403">
        <f t="shared" si="337"/>
        <v>1.145746268443252</v>
      </c>
      <c r="AO403">
        <f t="shared" si="338"/>
        <v>-0.50989944685349253</v>
      </c>
      <c r="AP403" s="41" t="str">
        <f t="shared" si="339"/>
        <v>0,406670798637354-0,29127921450609i</v>
      </c>
      <c r="AQ403">
        <f t="shared" si="340"/>
        <v>-6.0166978932188648</v>
      </c>
      <c r="AR403" s="43">
        <f t="shared" si="341"/>
        <v>-35.612248667025298</v>
      </c>
      <c r="AS403" t="str">
        <f t="shared" ref="AS403:AS466" si="369">COMPLEX(Adc_ea,0)</f>
        <v>-0,0000166666666666667</v>
      </c>
      <c r="AT403" t="str">
        <f t="shared" ref="AT403:AT466" si="370">COMPLEX(0,2*PI()*O403*wp0_ea)</f>
        <v>0,00067700912261991i</v>
      </c>
      <c r="AU403">
        <f t="shared" si="342"/>
        <v>6.7700912261991E-4</v>
      </c>
      <c r="AV403">
        <f t="shared" si="343"/>
        <v>1.5707963267948966</v>
      </c>
      <c r="AW403" t="str">
        <f t="shared" ref="AW403:AW466" si="371">IMSUM(COMPLEX(1,0),IMDIV(COMPLEX(0,2*PI()*O403),COMPLEX(wp1_ea,0)))</f>
        <v>1+2,12178725612633i</v>
      </c>
      <c r="AX403">
        <f t="shared" si="344"/>
        <v>2.3456302266683253</v>
      </c>
      <c r="AY403">
        <f t="shared" si="345"/>
        <v>1.1303705416986434</v>
      </c>
      <c r="AZ403" t="str">
        <f t="shared" ref="AZ403:AZ466" si="372">IMSUM(COMPLEX(1,0),IMDIV(COMPLEX(0,2*PI()*O403),COMPLEX(wz_ea,0)))</f>
        <v>1+146,789100173831i</v>
      </c>
      <c r="BA403">
        <f t="shared" si="346"/>
        <v>146.79250638177345</v>
      </c>
      <c r="BB403">
        <f t="shared" si="347"/>
        <v>1.5639839372563169</v>
      </c>
      <c r="BC403" s="41" t="str">
        <f t="shared" si="348"/>
        <v>-0,647299907153796+1,39805077673448i</v>
      </c>
      <c r="BD403">
        <f t="shared" si="349"/>
        <v>3.7539713034000806</v>
      </c>
      <c r="BE403" s="43">
        <f t="shared" si="350"/>
        <v>114.84421750579146</v>
      </c>
      <c r="BF403" s="41" t="str">
        <f t="shared" si="351"/>
        <v>0,354845369532715+0,239109179114311i</v>
      </c>
      <c r="BG403" s="20">
        <f t="shared" si="352"/>
        <v>-7.3733908562789185</v>
      </c>
      <c r="BH403" s="43">
        <f t="shared" si="353"/>
        <v>33.973685396393009</v>
      </c>
      <c r="BI403" s="41" t="str">
        <f t="shared" si="357"/>
        <v>0,143985161886729+0,757091434415807i</v>
      </c>
      <c r="BJ403" s="20">
        <f t="shared" si="354"/>
        <v>-2.2627265898187816</v>
      </c>
      <c r="BK403" s="43">
        <f t="shared" si="358"/>
        <v>79.231968838766178</v>
      </c>
      <c r="BL403">
        <f t="shared" si="355"/>
        <v>-7.3733908562789185</v>
      </c>
      <c r="BM403" s="43">
        <f t="shared" si="356"/>
        <v>33.973685396393009</v>
      </c>
    </row>
    <row r="404" spans="14:65" x14ac:dyDescent="0.25">
      <c r="N404" s="9">
        <v>86</v>
      </c>
      <c r="O404" s="34">
        <f t="shared" si="359"/>
        <v>72443.596007499116</v>
      </c>
      <c r="P404" s="33" t="str">
        <f t="shared" si="360"/>
        <v>54,631621870174</v>
      </c>
      <c r="Q404" s="4" t="str">
        <f t="shared" si="361"/>
        <v>1+3628,32610714454i</v>
      </c>
      <c r="R404" s="4">
        <f t="shared" ref="R404:R467" si="373">IMABS(Q404)</f>
        <v>3628.3262449491294</v>
      </c>
      <c r="S404" s="4">
        <f t="shared" ref="S404:S467" si="374">IMARGUMENT(Q404)</f>
        <v>1.5705207176172347</v>
      </c>
      <c r="T404" s="4" t="str">
        <f t="shared" si="362"/>
        <v>1+9,10353076067144i</v>
      </c>
      <c r="U404" s="4">
        <f t="shared" ref="U404:U467" si="375">IMABS(T404)</f>
        <v>9.1582898136328463</v>
      </c>
      <c r="V404" s="4">
        <f t="shared" ref="V404:V467" si="376">IMARGUMENT(T404)</f>
        <v>1.461387489664197</v>
      </c>
      <c r="W404" t="str">
        <f t="shared" si="363"/>
        <v>1-1,81130167820797i</v>
      </c>
      <c r="X404" s="4">
        <f t="shared" ref="X404:X467" si="377">IMABS(W404)</f>
        <v>2.0690127523722537</v>
      </c>
      <c r="Y404" s="4">
        <f t="shared" ref="Y404:Y467" si="378">IMARGUMENT(W404)</f>
        <v>-1.0663505786812071</v>
      </c>
      <c r="Z404" t="str">
        <f t="shared" si="364"/>
        <v>0,979007701590009+0,248858200700598i</v>
      </c>
      <c r="AA404" s="4">
        <f t="shared" ref="AA404:AA467" si="379">IMABS(Z404)</f>
        <v>1.0101418137214651</v>
      </c>
      <c r="AB404" s="4">
        <f t="shared" ref="AB404:AB467" si="380">IMARGUMENT(Z404)</f>
        <v>0.24892234950916603</v>
      </c>
      <c r="AC404" s="47" t="str">
        <f t="shared" ref="AC404:AC467" si="381">(IMDIV(IMPRODUCT(P404,T404,W404),IMPRODUCT(Q404,Z404)))</f>
        <v>0,0411995631821544-0,279423395280923i</v>
      </c>
      <c r="AD404" s="20">
        <f t="shared" ref="AD404:AD467" si="382">20*LOG(IMABS(AC404))</f>
        <v>-10.981340699509932</v>
      </c>
      <c r="AE404" s="43">
        <f t="shared" ref="AE404:AE467" si="383">(180/PI())*IMARGUMENT(AC404)</f>
        <v>-81.612461059469993</v>
      </c>
      <c r="AF404" t="str">
        <f t="shared" si="365"/>
        <v>171,265703090588</v>
      </c>
      <c r="AG404" t="str">
        <f t="shared" si="366"/>
        <v>1+3593,60296303414i</v>
      </c>
      <c r="AH404">
        <f t="shared" ref="AH404:AH467" si="384">IMABS(AG404)</f>
        <v>3593.6031021702652</v>
      </c>
      <c r="AI404">
        <f t="shared" ref="AI404:AI467" si="385">IMARGUMENT(AG404)</f>
        <v>1.5705180545471067</v>
      </c>
      <c r="AJ404" t="str">
        <f t="shared" si="367"/>
        <v>1+9,10353076067144i</v>
      </c>
      <c r="AK404">
        <f t="shared" ref="AK404:AK467" si="386">IMABS(AJ404)</f>
        <v>9.1582898136328463</v>
      </c>
      <c r="AL404">
        <f t="shared" ref="AL404:AL467" si="387">IMARGUMENT(AJ404)</f>
        <v>1.461387489664197</v>
      </c>
      <c r="AM404" t="str">
        <f t="shared" si="368"/>
        <v>1-0,572252772043252i</v>
      </c>
      <c r="AN404">
        <f t="shared" ref="AN404:AN467" si="388">IMABS(AM404)</f>
        <v>1.1521602471493217</v>
      </c>
      <c r="AO404">
        <f t="shared" ref="AO404:AO467" si="389">IMARGUMENT(AM404)</f>
        <v>-0.5197672141145413</v>
      </c>
      <c r="AP404" s="41" t="str">
        <f t="shared" ref="AP404:AP467" si="390">(IMDIV(IMPRODUCT(AF404,AJ404,AM404),IMPRODUCT(AG404)))</f>
        <v>0,406670175100996-0,295823236890049i</v>
      </c>
      <c r="AQ404">
        <f t="shared" ref="AQ404:AQ467" si="391">20*LOG(IMABS(AP404))</f>
        <v>-5.9706487664798473</v>
      </c>
      <c r="AR404" s="43">
        <f t="shared" ref="AR404:AR467" si="392">(180/PI())*IMARGUMENT(AP404)</f>
        <v>-36.03318848170526</v>
      </c>
      <c r="AS404" t="str">
        <f t="shared" si="369"/>
        <v>-0,0000166666666666667</v>
      </c>
      <c r="AT404" t="str">
        <f t="shared" si="370"/>
        <v>0,000692778690887097i</v>
      </c>
      <c r="AU404">
        <f t="shared" ref="AU404:AU467" si="393">IMABS(AT404)</f>
        <v>6.92778690887097E-4</v>
      </c>
      <c r="AV404">
        <f t="shared" ref="AV404:AV467" si="394">IMARGUMENT(AT404)</f>
        <v>1.5707963267948966</v>
      </c>
      <c r="AW404" t="str">
        <f t="shared" si="371"/>
        <v>1+2,17121003030469i</v>
      </c>
      <c r="AX404">
        <f t="shared" ref="AX404:AX467" si="395">IMABS(AW404)</f>
        <v>2.3904294584228363</v>
      </c>
      <c r="AY404">
        <f t="shared" ref="AY404:AY467" si="396">IMARGUMENT(AW404)</f>
        <v>1.1391850331620672</v>
      </c>
      <c r="AZ404" t="str">
        <f t="shared" si="372"/>
        <v>1+150,208257551079i</v>
      </c>
      <c r="BA404">
        <f t="shared" ref="BA404:BA467" si="397">IMABS(AZ404)</f>
        <v>150.21158622600083</v>
      </c>
      <c r="BB404">
        <f t="shared" ref="BB404:BB467" si="398">IMARGUMENT(AZ404)</f>
        <v>1.5641390015390613</v>
      </c>
      <c r="BC404" s="41" t="str">
        <f t="shared" ref="BC404:BC467" si="399">IMPRODUCT(AS404,IMDIV(AZ404,IMPRODUCT(AT404,AW404)))</f>
        <v>-0,623265057285131+1,37729705077944i</v>
      </c>
      <c r="BD404">
        <f t="shared" ref="BD404:BD467" si="400">20*LOG(IMABS(BC404))</f>
        <v>3.5896345780403078</v>
      </c>
      <c r="BE404" s="43">
        <f t="shared" ref="BE404:BE467" si="401">(180/PI())*IMARGUMENT(BC404)</f>
        <v>114.3480688753376</v>
      </c>
      <c r="BF404" s="41" t="str">
        <f t="shared" ref="BF404:BF467" si="402">IMPRODUCT(AC404,BC404)</f>
        <v>0,359170770132345+0,230898875330753i</v>
      </c>
      <c r="BG404" s="20">
        <f t="shared" ref="BG404:BG467" si="403">20*LOG(IMABS(BF404))</f>
        <v>-7.3917061214696211</v>
      </c>
      <c r="BH404" s="43">
        <f t="shared" ref="BH404:BH467" si="404">(180/PI())*IMARGUMENT(BF404)</f>
        <v>32.73560781586766</v>
      </c>
      <c r="BI404" s="41" t="str">
        <f t="shared" si="357"/>
        <v>0,153973161740216+0,744481919493109i</v>
      </c>
      <c r="BJ404" s="20">
        <f t="shared" ref="BJ404:BJ467" si="405">20*LOG(IMABS(BI404))</f>
        <v>-2.381014188439543</v>
      </c>
      <c r="BK404" s="43">
        <f t="shared" si="358"/>
        <v>78.314880393632322</v>
      </c>
      <c r="BL404">
        <f t="shared" ref="BL404:BL467" si="406">IF($B$31=0,BJ404,BG404)</f>
        <v>-7.3917061214696211</v>
      </c>
      <c r="BM404" s="43">
        <f t="shared" ref="BM404:BM467" si="407">IF($B$31=0,BK404,BH404)</f>
        <v>32.73560781586766</v>
      </c>
    </row>
    <row r="405" spans="14:65" x14ac:dyDescent="0.25">
      <c r="N405" s="9">
        <v>87</v>
      </c>
      <c r="O405" s="34">
        <f t="shared" si="359"/>
        <v>74131.024130091857</v>
      </c>
      <c r="P405" s="33" t="str">
        <f t="shared" si="360"/>
        <v>54,631621870174</v>
      </c>
      <c r="Q405" s="4" t="str">
        <f t="shared" si="361"/>
        <v>1+3712,84067915032i</v>
      </c>
      <c r="R405" s="4">
        <f t="shared" si="373"/>
        <v>3712.8408138180948</v>
      </c>
      <c r="S405" s="4">
        <f t="shared" si="374"/>
        <v>1.5705269912477413</v>
      </c>
      <c r="T405" s="4" t="str">
        <f t="shared" si="362"/>
        <v>1+9,31557923240738i</v>
      </c>
      <c r="U405" s="4">
        <f t="shared" si="375"/>
        <v>9.369099019396673</v>
      </c>
      <c r="V405" s="4">
        <f t="shared" si="376"/>
        <v>1.4638587777606473</v>
      </c>
      <c r="W405" t="str">
        <f t="shared" si="363"/>
        <v>1-1,85349231421659i</v>
      </c>
      <c r="X405" s="4">
        <f t="shared" si="377"/>
        <v>2.1060469507729334</v>
      </c>
      <c r="Y405" s="4">
        <f t="shared" si="378"/>
        <v>-1.0760331709016242</v>
      </c>
      <c r="Z405" t="str">
        <f t="shared" si="364"/>
        <v>0,978018365045695+0,254654852848519i</v>
      </c>
      <c r="AA405" s="4">
        <f t="shared" si="379"/>
        <v>1.0106280307046482</v>
      </c>
      <c r="AB405" s="4">
        <f t="shared" si="380"/>
        <v>0.25472246170948198</v>
      </c>
      <c r="AC405" s="47" t="str">
        <f t="shared" si="381"/>
        <v>0,0382023617670484-0,284733216097787i</v>
      </c>
      <c r="AD405" s="20">
        <f t="shared" si="382"/>
        <v>-10.833753951769626</v>
      </c>
      <c r="AE405" s="43">
        <f t="shared" si="383"/>
        <v>-82.358319752889258</v>
      </c>
      <c r="AF405" t="str">
        <f t="shared" si="365"/>
        <v>171,265703090588</v>
      </c>
      <c r="AG405" t="str">
        <f t="shared" si="366"/>
        <v>1+3677,3087291122i</v>
      </c>
      <c r="AH405">
        <f t="shared" si="384"/>
        <v>3677.3088650811997</v>
      </c>
      <c r="AI405">
        <f t="shared" si="385"/>
        <v>1.5705243887964813</v>
      </c>
      <c r="AJ405" t="str">
        <f t="shared" si="367"/>
        <v>1+9,31557923240738i</v>
      </c>
      <c r="AK405">
        <f t="shared" si="386"/>
        <v>9.369099019396673</v>
      </c>
      <c r="AL405">
        <f t="shared" si="387"/>
        <v>1.4638587777606473</v>
      </c>
      <c r="AM405" t="str">
        <f t="shared" si="368"/>
        <v>1-0,585582251445097i</v>
      </c>
      <c r="AN405">
        <f t="shared" si="388"/>
        <v>1.1588384586332594</v>
      </c>
      <c r="AO405">
        <f t="shared" si="389"/>
        <v>-0.52975075534393656</v>
      </c>
      <c r="AP405" s="41" t="str">
        <f t="shared" si="390"/>
        <v>0,406669579628392-0,300524108654265i</v>
      </c>
      <c r="AQ405">
        <f t="shared" si="391"/>
        <v>-5.9227795645961523</v>
      </c>
      <c r="AR405" s="43">
        <f t="shared" si="392"/>
        <v>-36.463971806612314</v>
      </c>
      <c r="AS405" t="str">
        <f t="shared" si="369"/>
        <v>-0,0000166666666666667</v>
      </c>
      <c r="AT405" t="str">
        <f t="shared" si="370"/>
        <v>0,000708915579586201i</v>
      </c>
      <c r="AU405">
        <f t="shared" si="393"/>
        <v>7.0891557958620104E-4</v>
      </c>
      <c r="AV405">
        <f t="shared" si="394"/>
        <v>1.5707963267948966</v>
      </c>
      <c r="AW405" t="str">
        <f t="shared" si="371"/>
        <v>1+2,22178400878047i</v>
      </c>
      <c r="AX405">
        <f t="shared" si="395"/>
        <v>2.4364573014261128</v>
      </c>
      <c r="AY405">
        <f t="shared" si="396"/>
        <v>1.1478685937794451</v>
      </c>
      <c r="AZ405" t="str">
        <f t="shared" si="372"/>
        <v>1+153,707057334722i</v>
      </c>
      <c r="BA405">
        <f t="shared" si="397"/>
        <v>153.71031024137426</v>
      </c>
      <c r="BB405">
        <f t="shared" si="398"/>
        <v>1.5642905364371611</v>
      </c>
      <c r="BC405" s="41" t="str">
        <f t="shared" si="399"/>
        <v>-0,599938915936161+1,35644477626995i</v>
      </c>
      <c r="BD405">
        <f t="shared" si="400"/>
        <v>3.4239684622910276</v>
      </c>
      <c r="BE405" s="43">
        <f t="shared" si="401"/>
        <v>113.85921981092584</v>
      </c>
      <c r="BF405" s="41" t="str">
        <f t="shared" si="402"/>
        <v>0,363305800101662+0,222641931056811i</v>
      </c>
      <c r="BG405" s="20">
        <f t="shared" si="403"/>
        <v>-7.4097854894785957</v>
      </c>
      <c r="BH405" s="43">
        <f t="shared" si="404"/>
        <v>31.500900058036613</v>
      </c>
      <c r="BI405" s="41" t="str">
        <f t="shared" si="357"/>
        <v>0,163667450580789+0,73192093491355i</v>
      </c>
      <c r="BJ405" s="20">
        <f t="shared" si="405"/>
        <v>-2.4988111023051212</v>
      </c>
      <c r="BK405" s="43">
        <f t="shared" si="358"/>
        <v>77.39524800431353</v>
      </c>
      <c r="BL405">
        <f t="shared" si="406"/>
        <v>-7.4097854894785957</v>
      </c>
      <c r="BM405" s="43">
        <f t="shared" si="407"/>
        <v>31.500900058036613</v>
      </c>
    </row>
    <row r="406" spans="14:65" x14ac:dyDescent="0.25">
      <c r="N406" s="9">
        <v>88</v>
      </c>
      <c r="O406" s="34">
        <f t="shared" si="359"/>
        <v>75857.757502918481</v>
      </c>
      <c r="P406" s="33" t="str">
        <f t="shared" si="360"/>
        <v>54,631621870174</v>
      </c>
      <c r="Q406" s="4" t="str">
        <f t="shared" si="361"/>
        <v>1+3799,32384842943i</v>
      </c>
      <c r="R406" s="4">
        <f t="shared" si="373"/>
        <v>3799.3239800317915</v>
      </c>
      <c r="S406" s="4">
        <f t="shared" si="374"/>
        <v>1.5705331220730034</v>
      </c>
      <c r="T406" s="4" t="str">
        <f t="shared" si="362"/>
        <v>1+9,53256694755858i</v>
      </c>
      <c r="U406" s="4">
        <f t="shared" si="375"/>
        <v>9.5848752005274598</v>
      </c>
      <c r="V406" s="4">
        <f t="shared" si="376"/>
        <v>1.4662750801199209</v>
      </c>
      <c r="W406" t="str">
        <f t="shared" si="363"/>
        <v>1-1,89666569638407i</v>
      </c>
      <c r="X406" s="4">
        <f t="shared" si="377"/>
        <v>2.1441410317047871</v>
      </c>
      <c r="Y406" s="4">
        <f t="shared" si="378"/>
        <v>-1.0855941263000224</v>
      </c>
      <c r="Z406" t="str">
        <f t="shared" si="364"/>
        <v>0,976982402506514+0,260586526370176i</v>
      </c>
      <c r="AA406" s="4">
        <f t="shared" si="379"/>
        <v>1.0111379493091308</v>
      </c>
      <c r="AB406" s="4">
        <f t="shared" si="380"/>
        <v>0.26065770683824663</v>
      </c>
      <c r="AC406" s="47" t="str">
        <f t="shared" si="381"/>
        <v>0,0350700257354299-0,290146738161371i</v>
      </c>
      <c r="AD406" s="20">
        <f t="shared" si="382"/>
        <v>-10.684656698492576</v>
      </c>
      <c r="AE406" s="43">
        <f t="shared" si="383"/>
        <v>-83.108093984782755</v>
      </c>
      <c r="AF406" t="str">
        <f t="shared" si="365"/>
        <v>171,265703090588</v>
      </c>
      <c r="AG406" t="str">
        <f t="shared" si="366"/>
        <v>1+3762,96425295335i</v>
      </c>
      <c r="AH406">
        <f t="shared" si="384"/>
        <v>3762.9643858273175</v>
      </c>
      <c r="AI406">
        <f t="shared" si="385"/>
        <v>1.5705305788607582</v>
      </c>
      <c r="AJ406" t="str">
        <f t="shared" si="367"/>
        <v>1+9,53256694755858i</v>
      </c>
      <c r="AK406">
        <f t="shared" si="386"/>
        <v>9.5848752005274598</v>
      </c>
      <c r="AL406">
        <f t="shared" si="387"/>
        <v>1.4662750801199209</v>
      </c>
      <c r="AM406" t="str">
        <f t="shared" si="368"/>
        <v>1-0,599222214307753i</v>
      </c>
      <c r="AN406">
        <f t="shared" si="388"/>
        <v>1.1657904023107613</v>
      </c>
      <c r="AO406">
        <f t="shared" si="389"/>
        <v>-0.53984740277871801</v>
      </c>
      <c r="AP406" s="41" t="str">
        <f t="shared" si="390"/>
        <v>0,406669010956463-0,305384322264217i</v>
      </c>
      <c r="AQ406">
        <f t="shared" si="391"/>
        <v>-5.8730553626230888</v>
      </c>
      <c r="AR406" s="43">
        <f t="shared" si="392"/>
        <v>-36.904377829201209</v>
      </c>
      <c r="AS406" t="str">
        <f t="shared" si="369"/>
        <v>-0,0000166666666666667</v>
      </c>
      <c r="AT406" t="str">
        <f t="shared" si="370"/>
        <v>0,000725428344709209i</v>
      </c>
      <c r="AU406">
        <f t="shared" si="393"/>
        <v>7.2542834470920895E-4</v>
      </c>
      <c r="AV406">
        <f t="shared" si="394"/>
        <v>1.5707963267948966</v>
      </c>
      <c r="AW406" t="str">
        <f t="shared" si="371"/>
        <v>1+2,27353600654649i</v>
      </c>
      <c r="AX406">
        <f t="shared" si="395"/>
        <v>2.4837403191685241</v>
      </c>
      <c r="AY406">
        <f t="shared" si="396"/>
        <v>1.1564205884388385</v>
      </c>
      <c r="AZ406" t="str">
        <f t="shared" si="372"/>
        <v>1+157,287354634717i</v>
      </c>
      <c r="BA406">
        <f t="shared" si="397"/>
        <v>157.29053349768773</v>
      </c>
      <c r="BB406">
        <f t="shared" si="398"/>
        <v>1.5644386222685722</v>
      </c>
      <c r="BC406" s="41" t="str">
        <f t="shared" si="399"/>
        <v>-0,577314238682655+1,33551964042835i</v>
      </c>
      <c r="BD406">
        <f t="shared" si="400"/>
        <v>3.2570125383905948</v>
      </c>
      <c r="BE406" s="43">
        <f t="shared" si="401"/>
        <v>113.3777113036697</v>
      </c>
      <c r="BF406" s="41" t="str">
        <f t="shared" si="402"/>
        <v>0,367250242212702+0,214342551407882i</v>
      </c>
      <c r="BG406" s="20">
        <f t="shared" si="403"/>
        <v>-7.4276441601019805</v>
      </c>
      <c r="BH406" s="43">
        <f t="shared" si="404"/>
        <v>30.269617318886965</v>
      </c>
      <c r="BI406" s="41" t="str">
        <f t="shared" si="357"/>
        <v>0,173070949806604+0,719417168799513i</v>
      </c>
      <c r="BJ406" s="20">
        <f t="shared" si="405"/>
        <v>-2.6160428242324976</v>
      </c>
      <c r="BK406" s="43">
        <f t="shared" si="358"/>
        <v>76.473333474468475</v>
      </c>
      <c r="BL406">
        <f t="shared" si="406"/>
        <v>-7.4276441601019805</v>
      </c>
      <c r="BM406" s="43">
        <f t="shared" si="407"/>
        <v>30.269617318886965</v>
      </c>
    </row>
    <row r="407" spans="14:65" x14ac:dyDescent="0.25">
      <c r="N407" s="9">
        <v>89</v>
      </c>
      <c r="O407" s="34">
        <f t="shared" si="359"/>
        <v>77624.711662869129</v>
      </c>
      <c r="P407" s="33" t="str">
        <f t="shared" si="360"/>
        <v>54,631621870174</v>
      </c>
      <c r="Q407" s="4" t="str">
        <f t="shared" si="361"/>
        <v>1+3887,82146950298i</v>
      </c>
      <c r="R407" s="4">
        <f t="shared" si="373"/>
        <v>3887.8215981097069</v>
      </c>
      <c r="S407" s="4">
        <f t="shared" si="374"/>
        <v>1.5705391133436639</v>
      </c>
      <c r="T407" s="4" t="str">
        <f t="shared" si="362"/>
        <v>1+9,75460895588382i</v>
      </c>
      <c r="U407" s="4">
        <f t="shared" si="375"/>
        <v>9.8057328069965681</v>
      </c>
      <c r="V407" s="4">
        <f t="shared" si="376"/>
        <v>1.4686375649749901</v>
      </c>
      <c r="W407" t="str">
        <f t="shared" si="363"/>
        <v>1-1,94084471580911i</v>
      </c>
      <c r="X407" s="4">
        <f t="shared" si="377"/>
        <v>2.1833181652897373</v>
      </c>
      <c r="Y407" s="4">
        <f t="shared" si="378"/>
        <v>-1.0950315215233233</v>
      </c>
      <c r="Z407" t="str">
        <f t="shared" si="364"/>
        <v>0,975897616557026+0,266656366317385i</v>
      </c>
      <c r="AA407" s="4">
        <f t="shared" si="379"/>
        <v>1.0116727611729375</v>
      </c>
      <c r="AB407" s="4">
        <f t="shared" si="380"/>
        <v>0.26673122164196966</v>
      </c>
      <c r="AC407" s="47" t="str">
        <f t="shared" si="381"/>
        <v>0,0317967752237312-0,295663525948675i</v>
      </c>
      <c r="AD407" s="20">
        <f t="shared" si="382"/>
        <v>-10.534104160255531</v>
      </c>
      <c r="AE407" s="43">
        <f t="shared" si="383"/>
        <v>-83.861786528901973</v>
      </c>
      <c r="AF407" t="str">
        <f t="shared" si="365"/>
        <v>171,265703090588</v>
      </c>
      <c r="AG407" t="str">
        <f t="shared" si="366"/>
        <v>1+3850,61495025014i</v>
      </c>
      <c r="AH407">
        <f t="shared" si="384"/>
        <v>3850.6150800995265</v>
      </c>
      <c r="AI407">
        <f t="shared" si="385"/>
        <v>1.5705366280219892</v>
      </c>
      <c r="AJ407" t="str">
        <f t="shared" si="367"/>
        <v>1+9,75460895588382i</v>
      </c>
      <c r="AK407">
        <f t="shared" si="386"/>
        <v>9.8057328069965681</v>
      </c>
      <c r="AL407">
        <f t="shared" si="387"/>
        <v>1.4686375649749901</v>
      </c>
      <c r="AM407" t="str">
        <f t="shared" si="368"/>
        <v>1-0,613179892720079i</v>
      </c>
      <c r="AN407">
        <f t="shared" si="388"/>
        <v>1.1730258227491019</v>
      </c>
      <c r="AO407">
        <f t="shared" si="389"/>
        <v>-0.55005427506012372</v>
      </c>
      <c r="AP407" s="41" t="str">
        <f t="shared" si="390"/>
        <v>0,406668467878986-0,310406454670464i</v>
      </c>
      <c r="AQ407">
        <f t="shared" si="391"/>
        <v>-5.8214415541189517</v>
      </c>
      <c r="AR407" s="43">
        <f t="shared" si="392"/>
        <v>-37.354174713003779</v>
      </c>
      <c r="AS407" t="str">
        <f t="shared" si="369"/>
        <v>-0,0000166666666666667</v>
      </c>
      <c r="AT407" t="str">
        <f t="shared" si="370"/>
        <v>0,000742325741542759i</v>
      </c>
      <c r="AU407">
        <f t="shared" si="393"/>
        <v>7.4232574154275901E-4</v>
      </c>
      <c r="AV407">
        <f t="shared" si="394"/>
        <v>1.5707963267948966</v>
      </c>
      <c r="AW407" t="str">
        <f t="shared" si="371"/>
        <v>1+2,32649346319699i</v>
      </c>
      <c r="AX407">
        <f t="shared" si="395"/>
        <v>2.5323056360357303</v>
      </c>
      <c r="AY407">
        <f t="shared" si="396"/>
        <v>1.1648405467657281</v>
      </c>
      <c r="AZ407" t="str">
        <f t="shared" si="372"/>
        <v>1+160,951047772083i</v>
      </c>
      <c r="BA407">
        <f t="shared" si="397"/>
        <v>160.95415427671119</v>
      </c>
      <c r="BB407">
        <f t="shared" si="398"/>
        <v>1.5645833375243678</v>
      </c>
      <c r="BC407" s="41" t="str">
        <f t="shared" si="399"/>
        <v>-0,555382767823289+1,31454633731085i</v>
      </c>
      <c r="BD407">
        <f t="shared" si="400"/>
        <v>3.0888059537169332</v>
      </c>
      <c r="BE407" s="43">
        <f t="shared" si="401"/>
        <v>112.90357480125111</v>
      </c>
      <c r="BF407" s="41" t="str">
        <f t="shared" si="402"/>
        <v>0,371004024080631+0,20600476179442i</v>
      </c>
      <c r="BG407" s="20">
        <f t="shared" si="403"/>
        <v>-7.445298206538606</v>
      </c>
      <c r="BH407" s="43">
        <f t="shared" si="404"/>
        <v>29.041788272349145</v>
      </c>
      <c r="BI407" s="41" t="str">
        <f t="shared" si="357"/>
        <v>0,182187008787617+0,706978940895233i</v>
      </c>
      <c r="BJ407" s="20">
        <f t="shared" si="405"/>
        <v>-2.7326356004020145</v>
      </c>
      <c r="BK407" s="43">
        <f t="shared" si="358"/>
        <v>75.549400088247367</v>
      </c>
      <c r="BL407">
        <f t="shared" si="406"/>
        <v>-7.445298206538606</v>
      </c>
      <c r="BM407" s="43">
        <f t="shared" si="407"/>
        <v>29.041788272349145</v>
      </c>
    </row>
    <row r="408" spans="14:65" x14ac:dyDescent="0.25">
      <c r="N408" s="9">
        <v>90</v>
      </c>
      <c r="O408" s="34">
        <f t="shared" si="359"/>
        <v>79432.823472428237</v>
      </c>
      <c r="P408" s="33" t="str">
        <f t="shared" si="360"/>
        <v>54,631621870174</v>
      </c>
      <c r="Q408" s="4" t="str">
        <f t="shared" si="361"/>
        <v>1+3978,38046498107i</v>
      </c>
      <c r="R408" s="4">
        <f t="shared" si="373"/>
        <v>3978.3805906603498</v>
      </c>
      <c r="S408" s="4">
        <f t="shared" si="374"/>
        <v>1.5705449682363721</v>
      </c>
      <c r="T408" s="4" t="str">
        <f t="shared" si="362"/>
        <v>1+9,98182298699502i</v>
      </c>
      <c r="U408" s="4">
        <f t="shared" si="375"/>
        <v>10.031788980221931</v>
      </c>
      <c r="V408" s="4">
        <f t="shared" si="376"/>
        <v>1.4709473794023911</v>
      </c>
      <c r="W408" t="str">
        <f t="shared" si="363"/>
        <v>1-1,9860527967926i</v>
      </c>
      <c r="X408" s="4">
        <f t="shared" si="377"/>
        <v>2.2236019678997652</v>
      </c>
      <c r="Y408" s="4">
        <f t="shared" si="378"/>
        <v>-1.1043436352463183</v>
      </c>
      <c r="Z408" t="str">
        <f t="shared" si="364"/>
        <v>0,974761706220792+0,27286759099963i</v>
      </c>
      <c r="AA408" s="4">
        <f t="shared" si="379"/>
        <v>1.0122337211002264</v>
      </c>
      <c r="AB408" s="4">
        <f t="shared" si="380"/>
        <v>0.27294621359636317</v>
      </c>
      <c r="AC408" s="47" t="str">
        <f t="shared" si="381"/>
        <v>0,0283766149211769-0,301282971762007i</v>
      </c>
      <c r="AD408" s="20">
        <f t="shared" si="382"/>
        <v>-10.382151937905693</v>
      </c>
      <c r="AE408" s="43">
        <f t="shared" si="383"/>
        <v>-84.619416994763071</v>
      </c>
      <c r="AF408" t="str">
        <f t="shared" si="365"/>
        <v>171,265703090588</v>
      </c>
      <c r="AG408" t="str">
        <f t="shared" si="366"/>
        <v>1+3940,30729456248i</v>
      </c>
      <c r="AH408">
        <f t="shared" si="384"/>
        <v>3940.3074214561339</v>
      </c>
      <c r="AI408">
        <f t="shared" si="385"/>
        <v>1.5705425394875181</v>
      </c>
      <c r="AJ408" t="str">
        <f t="shared" si="367"/>
        <v>1+9,98182298699502i</v>
      </c>
      <c r="AK408">
        <f t="shared" si="386"/>
        <v>10.031788980221931</v>
      </c>
      <c r="AL408">
        <f t="shared" si="387"/>
        <v>1.4709473794023911</v>
      </c>
      <c r="AM408" t="str">
        <f t="shared" si="368"/>
        <v>1-0,627462687227923i</v>
      </c>
      <c r="AN408">
        <f t="shared" si="388"/>
        <v>1.18055471023722</v>
      </c>
      <c r="AO408">
        <f t="shared" si="389"/>
        <v>-0.5603682767170759</v>
      </c>
      <c r="AP408" s="41" t="str">
        <f t="shared" si="390"/>
        <v>0,40666794924402-0,315593168674997i</v>
      </c>
      <c r="AQ408">
        <f t="shared" si="391"/>
        <v>-5.7679039681009598</v>
      </c>
      <c r="AR408" s="43">
        <f t="shared" si="392"/>
        <v>-37.813119561715084</v>
      </c>
      <c r="AS408" t="str">
        <f t="shared" si="369"/>
        <v>-0,0000166666666666667</v>
      </c>
      <c r="AT408" t="str">
        <f t="shared" si="370"/>
        <v>0,000759616729310321i</v>
      </c>
      <c r="AU408">
        <f t="shared" si="393"/>
        <v>7.5961672931032097E-4</v>
      </c>
      <c r="AV408">
        <f t="shared" si="394"/>
        <v>1.5707963267948966</v>
      </c>
      <c r="AW408" t="str">
        <f t="shared" si="371"/>
        <v>1+2,38068445747647i</v>
      </c>
      <c r="AX408">
        <f t="shared" si="395"/>
        <v>2.5821809553302097</v>
      </c>
      <c r="AY408">
        <f t="shared" si="396"/>
        <v>1.1731281565730491</v>
      </c>
      <c r="AZ408" t="str">
        <f t="shared" si="372"/>
        <v>1+164,700079285418i</v>
      </c>
      <c r="BA408">
        <f t="shared" si="397"/>
        <v>164.7031150786863</v>
      </c>
      <c r="BB408">
        <f t="shared" si="398"/>
        <v>1.5647247589102327</v>
      </c>
      <c r="BC408" s="41" t="str">
        <f t="shared" si="399"/>
        <v>-0,534135319263695+1,2935485421899i</v>
      </c>
      <c r="BD408">
        <f t="shared" si="400"/>
        <v>2.9193873662930372</v>
      </c>
      <c r="BE408" s="43">
        <f t="shared" si="401"/>
        <v>112.43683258558349</v>
      </c>
      <c r="BF408" s="41" t="str">
        <f t="shared" si="402"/>
        <v>0,374567196638839+0,197632405174387i</v>
      </c>
      <c r="BG408" s="20">
        <f t="shared" si="403"/>
        <v>-7.4627645716126576</v>
      </c>
      <c r="BH408" s="43">
        <f t="shared" si="404"/>
        <v>27.817415590820467</v>
      </c>
      <c r="BI408" s="41" t="str">
        <f t="shared" si="357"/>
        <v>0,191019368360867+0,694614190807619i</v>
      </c>
      <c r="BJ408" s="20">
        <f t="shared" si="405"/>
        <v>-2.8485166018079227</v>
      </c>
      <c r="BK408" s="43">
        <f t="shared" si="358"/>
        <v>74.623713023868405</v>
      </c>
      <c r="BL408">
        <f t="shared" si="406"/>
        <v>-7.4627645716126576</v>
      </c>
      <c r="BM408" s="43">
        <f t="shared" si="407"/>
        <v>27.817415590820467</v>
      </c>
    </row>
    <row r="409" spans="14:65" x14ac:dyDescent="0.25">
      <c r="N409" s="9">
        <v>91</v>
      </c>
      <c r="O409" s="34">
        <f t="shared" si="359"/>
        <v>81283.051616410012</v>
      </c>
      <c r="P409" s="33" t="str">
        <f t="shared" si="360"/>
        <v>54,631621870174</v>
      </c>
      <c r="Q409" s="4" t="str">
        <f t="shared" si="361"/>
        <v>1+4071,04885044178i</v>
      </c>
      <c r="R409" s="4">
        <f t="shared" si="373"/>
        <v>4071.04897326025</v>
      </c>
      <c r="S409" s="4">
        <f t="shared" si="374"/>
        <v>1.5705506898554678</v>
      </c>
      <c r="T409" s="4" t="str">
        <f t="shared" si="362"/>
        <v>1+10,2143295127789i</v>
      </c>
      <c r="U409" s="4">
        <f t="shared" si="375"/>
        <v>10.263163615358865</v>
      </c>
      <c r="V409" s="4">
        <f t="shared" si="376"/>
        <v>1.4732056494549359</v>
      </c>
      <c r="W409" t="str">
        <f t="shared" si="363"/>
        <v>1-2,03231390925746i</v>
      </c>
      <c r="X409" s="4">
        <f t="shared" si="377"/>
        <v>2.2650165177678816</v>
      </c>
      <c r="Y409" s="4">
        <f t="shared" si="378"/>
        <v>-1.1135289439318592</v>
      </c>
      <c r="Z409" t="str">
        <f t="shared" si="364"/>
        <v>0,973572262079696+0,279223493690452i</v>
      </c>
      <c r="AA409" s="4">
        <f t="shared" si="379"/>
        <v>1.0128221506857353</v>
      </c>
      <c r="AB409" s="4">
        <f t="shared" si="380"/>
        <v>0.27930596220503234</v>
      </c>
      <c r="AC409" s="47" t="str">
        <f t="shared" si="381"/>
        <v>0,0248033293897535-0,307004280399485i</v>
      </c>
      <c r="AD409" s="20">
        <f t="shared" si="382"/>
        <v>-10.228855959852297</v>
      </c>
      <c r="AE409" s="43">
        <f t="shared" si="383"/>
        <v>-85.381021651624906</v>
      </c>
      <c r="AF409" t="str">
        <f t="shared" si="365"/>
        <v>171,265703090588</v>
      </c>
      <c r="AG409" t="str">
        <f t="shared" si="366"/>
        <v>1+4032,08884195852i</v>
      </c>
      <c r="AH409">
        <f t="shared" si="384"/>
        <v>4032.0889659637223</v>
      </c>
      <c r="AI409">
        <f t="shared" si="385"/>
        <v>1.5705483163916807</v>
      </c>
      <c r="AJ409" t="str">
        <f t="shared" si="367"/>
        <v>1+10,2143295127789i</v>
      </c>
      <c r="AK409">
        <f t="shared" si="386"/>
        <v>10.263163615358865</v>
      </c>
      <c r="AL409">
        <f t="shared" si="387"/>
        <v>1.4732056494549359</v>
      </c>
      <c r="AM409" t="str">
        <f t="shared" si="368"/>
        <v>1-0,642078170757983i</v>
      </c>
      <c r="AN409">
        <f t="shared" si="388"/>
        <v>1.1883873010781956</v>
      </c>
      <c r="AO409">
        <f t="shared" si="389"/>
        <v>-0.57078609848232864</v>
      </c>
      <c r="AP409" s="41" t="str">
        <f t="shared" si="390"/>
        <v>0,406667453951465-0,320947214343074i</v>
      </c>
      <c r="AQ409">
        <f t="shared" si="391"/>
        <v>-5.7124089880727382</v>
      </c>
      <c r="AR409" s="43">
        <f t="shared" si="392"/>
        <v>-38.280958429799014</v>
      </c>
      <c r="AS409" t="str">
        <f t="shared" si="369"/>
        <v>-0,0000166666666666667</v>
      </c>
      <c r="AT409" t="str">
        <f t="shared" si="370"/>
        <v>0,000777310475922478i</v>
      </c>
      <c r="AU409">
        <f t="shared" si="393"/>
        <v>7.7731047592247799E-4</v>
      </c>
      <c r="AV409">
        <f t="shared" si="394"/>
        <v>1.5707963267948966</v>
      </c>
      <c r="AW409" t="str">
        <f t="shared" si="371"/>
        <v>1+2,43613772216738i</v>
      </c>
      <c r="AX409">
        <f t="shared" si="395"/>
        <v>2.6333945776064156</v>
      </c>
      <c r="AY409">
        <f t="shared" si="396"/>
        <v>1.1812832571686536</v>
      </c>
      <c r="AZ409" t="str">
        <f t="shared" si="372"/>
        <v>1+168,536436960853i</v>
      </c>
      <c r="BA409">
        <f t="shared" si="397"/>
        <v>168.53940365226043</v>
      </c>
      <c r="BB409">
        <f t="shared" si="398"/>
        <v>1.5648629613870173</v>
      </c>
      <c r="BC409" s="41" t="str">
        <f t="shared" si="399"/>
        <v>-0,513561867831509+1,27254889270255i</v>
      </c>
      <c r="BD409">
        <f t="shared" si="400"/>
        <v>2.7487948951318431</v>
      </c>
      <c r="BE409" s="43">
        <f t="shared" si="401"/>
        <v>111.97749815858872</v>
      </c>
      <c r="BF409" s="41" t="str">
        <f t="shared" si="402"/>
        <v>0,377939912907466+0,189229141024495i</v>
      </c>
      <c r="BG409" s="20">
        <f t="shared" si="403"/>
        <v>-7.4800610647204566</v>
      </c>
      <c r="BH409" s="43">
        <f t="shared" si="404"/>
        <v>26.596476506963771</v>
      </c>
      <c r="BI409" s="41" t="str">
        <f t="shared" si="357"/>
        <v>0,199572124990648+0,682330469097451i</v>
      </c>
      <c r="BJ409" s="20">
        <f t="shared" si="405"/>
        <v>-2.9636140929408934</v>
      </c>
      <c r="BK409" s="43">
        <f t="shared" si="358"/>
        <v>73.69653972878973</v>
      </c>
      <c r="BL409">
        <f t="shared" si="406"/>
        <v>-7.4800610647204566</v>
      </c>
      <c r="BM409" s="43">
        <f t="shared" si="407"/>
        <v>26.596476506963771</v>
      </c>
    </row>
    <row r="410" spans="14:65" x14ac:dyDescent="0.25">
      <c r="N410" s="9">
        <v>92</v>
      </c>
      <c r="O410" s="34">
        <f t="shared" si="359"/>
        <v>83176.377110267174</v>
      </c>
      <c r="P410" s="33" t="str">
        <f t="shared" si="360"/>
        <v>54,631621870174</v>
      </c>
      <c r="Q410" s="4" t="str">
        <f t="shared" si="361"/>
        <v>1+4165,87575988969i</v>
      </c>
      <c r="R410" s="4">
        <f t="shared" si="373"/>
        <v>4165.8758799124707</v>
      </c>
      <c r="S410" s="4">
        <f t="shared" si="374"/>
        <v>1.5705562812346279</v>
      </c>
      <c r="T410" s="4" t="str">
        <f t="shared" si="362"/>
        <v>1+10,4522518112732i</v>
      </c>
      <c r="U410" s="4">
        <f t="shared" si="375"/>
        <v>10.499979425040026</v>
      </c>
      <c r="V410" s="4">
        <f t="shared" si="376"/>
        <v>1.4754134803132111</v>
      </c>
      <c r="W410" t="str">
        <f t="shared" si="363"/>
        <v>1-2,07965258145786i</v>
      </c>
      <c r="X410" s="4">
        <f t="shared" si="377"/>
        <v>2.3075863709868671</v>
      </c>
      <c r="Y410" s="4">
        <f t="shared" si="378"/>
        <v>-1.1225861170986919</v>
      </c>
      <c r="Z410" t="str">
        <f t="shared" si="364"/>
        <v>0,972326761163242+0,285727444373589i</v>
      </c>
      <c r="AA410" s="4">
        <f t="shared" si="379"/>
        <v>1.0134394421683335</v>
      </c>
      <c r="AB410" s="4">
        <f t="shared" si="380"/>
        <v>0.28581382028268426</v>
      </c>
      <c r="AC410" s="47" t="str">
        <f t="shared" si="381"/>
        <v>0,0210704786856463-0,312826452811921i</v>
      </c>
      <c r="AD410" s="20">
        <f t="shared" si="382"/>
        <v>-10.074272435210528</v>
      </c>
      <c r="AE410" s="43">
        <f t="shared" si="383"/>
        <v>-86.146653222292784</v>
      </c>
      <c r="AF410" t="str">
        <f t="shared" si="365"/>
        <v>171,265703090588</v>
      </c>
      <c r="AG410" t="str">
        <f t="shared" si="366"/>
        <v>1+4126,00825622958i</v>
      </c>
      <c r="AH410">
        <f t="shared" si="384"/>
        <v>4126.0083774120794</v>
      </c>
      <c r="AI410">
        <f t="shared" si="385"/>
        <v>1.570553961797466</v>
      </c>
      <c r="AJ410" t="str">
        <f t="shared" si="367"/>
        <v>1+10,4522518112732i</v>
      </c>
      <c r="AK410">
        <f t="shared" si="386"/>
        <v>10.499979425040026</v>
      </c>
      <c r="AL410">
        <f t="shared" si="387"/>
        <v>1.4754134803132111</v>
      </c>
      <c r="AM410" t="str">
        <f t="shared" si="368"/>
        <v>1-0,65703409263309i</v>
      </c>
      <c r="AN410">
        <f t="shared" si="388"/>
        <v>1.1965340776100728</v>
      </c>
      <c r="AO410">
        <f t="shared" si="389"/>
        <v>-0.58130421848255942</v>
      </c>
      <c r="AP410" s="41" t="str">
        <f t="shared" si="390"/>
        <v>0,406666980950747-0,326471430461381i</v>
      </c>
      <c r="AQ410">
        <f t="shared" si="391"/>
        <v>-5.6549236725916998</v>
      </c>
      <c r="AR410" s="43">
        <f t="shared" si="392"/>
        <v>-38.757426382091872</v>
      </c>
      <c r="AS410" t="str">
        <f t="shared" si="369"/>
        <v>-0,0000166666666666667</v>
      </c>
      <c r="AT410" t="str">
        <f t="shared" si="370"/>
        <v>0,000795416362837889i</v>
      </c>
      <c r="AU410">
        <f t="shared" si="393"/>
        <v>7.9541636283788904E-4</v>
      </c>
      <c r="AV410">
        <f t="shared" si="394"/>
        <v>1.5707963267948966</v>
      </c>
      <c r="AW410" t="str">
        <f t="shared" si="371"/>
        <v>1+2,49288265932468i</v>
      </c>
      <c r="AX410">
        <f t="shared" si="395"/>
        <v>2.6859754193144969</v>
      </c>
      <c r="AY410">
        <f t="shared" si="396"/>
        <v>1.1893058325625794</v>
      </c>
      <c r="AZ410" t="str">
        <f t="shared" si="372"/>
        <v>1+172,462154886007i</v>
      </c>
      <c r="BA410">
        <f t="shared" si="397"/>
        <v>172.46505404842185</v>
      </c>
      <c r="BB410">
        <f t="shared" si="398"/>
        <v>1.5649980182103744</v>
      </c>
      <c r="BC410" s="41" t="str">
        <f t="shared" si="399"/>
        <v>-0,493651630574369+1,25156897634217i</v>
      </c>
      <c r="BD410">
        <f t="shared" si="400"/>
        <v>2.5770660753190682</v>
      </c>
      <c r="BE410" s="43">
        <f t="shared" si="401"/>
        <v>111.52557663366413</v>
      </c>
      <c r="BF410" s="41" t="str">
        <f t="shared" si="402"/>
        <v>0,381122407158416+0,180798445957035i</v>
      </c>
      <c r="BG410" s="20">
        <f t="shared" si="403"/>
        <v>-7.4972063598914609</v>
      </c>
      <c r="BH410" s="43">
        <f t="shared" si="404"/>
        <v>25.378923411371439</v>
      </c>
      <c r="BI410" s="41" t="str">
        <f t="shared" si="357"/>
        <v>0,207849695780422+0,670134931043895i</v>
      </c>
      <c r="BJ410" s="20">
        <f t="shared" si="405"/>
        <v>-3.077857597272629</v>
      </c>
      <c r="BK410" s="43">
        <f t="shared" si="358"/>
        <v>72.768150251572294</v>
      </c>
      <c r="BL410">
        <f t="shared" si="406"/>
        <v>-7.4972063598914609</v>
      </c>
      <c r="BM410" s="43">
        <f t="shared" si="407"/>
        <v>25.378923411371439</v>
      </c>
    </row>
    <row r="411" spans="14:65" x14ac:dyDescent="0.25">
      <c r="N411" s="9">
        <v>93</v>
      </c>
      <c r="O411" s="34">
        <f t="shared" si="359"/>
        <v>85113.803820237721</v>
      </c>
      <c r="P411" s="33" t="str">
        <f t="shared" si="360"/>
        <v>54,631621870174</v>
      </c>
      <c r="Q411" s="4" t="str">
        <f t="shared" si="361"/>
        <v>1+4262,91147180738i</v>
      </c>
      <c r="R411" s="4">
        <f t="shared" si="373"/>
        <v>4262.9115890981084</v>
      </c>
      <c r="S411" s="4">
        <f t="shared" si="374"/>
        <v>1.5705617453384739</v>
      </c>
      <c r="T411" s="4" t="str">
        <f t="shared" si="362"/>
        <v>1+10,6957160320297i</v>
      </c>
      <c r="U411" s="4">
        <f t="shared" si="375"/>
        <v>10.742362004597368</v>
      </c>
      <c r="V411" s="4">
        <f t="shared" si="376"/>
        <v>1.4775719564541236</v>
      </c>
      <c r="W411" t="str">
        <f t="shared" si="363"/>
        <v>1-2,12809391298441i</v>
      </c>
      <c r="X411" s="4">
        <f t="shared" si="377"/>
        <v>2.3513365778810353</v>
      </c>
      <c r="Y411" s="4">
        <f t="shared" si="378"/>
        <v>-1.1315140121520533</v>
      </c>
      <c r="Z411" t="str">
        <f t="shared" si="364"/>
        <v>0,971022561597+0,292382891529783i</v>
      </c>
      <c r="AA411" s="4">
        <f t="shared" si="379"/>
        <v>1.0140870625295031</v>
      </c>
      <c r="AB411" s="4">
        <f t="shared" si="380"/>
        <v>0.29247321521691438</v>
      </c>
      <c r="AC411" s="47" t="str">
        <f t="shared" si="381"/>
        <v>0,0171713943450374-0,318748268692889i</v>
      </c>
      <c r="AD411" s="20">
        <f t="shared" si="382"/>
        <v>-9.9184578130452579</v>
      </c>
      <c r="AE411" s="43">
        <f t="shared" si="383"/>
        <v>-86.916380649663679</v>
      </c>
      <c r="AF411" t="str">
        <f t="shared" si="365"/>
        <v>171,265703090588</v>
      </c>
      <c r="AG411" t="str">
        <f t="shared" si="366"/>
        <v>1+4222,11533469226i</v>
      </c>
      <c r="AH411">
        <f t="shared" si="384"/>
        <v>4222.1154531163093</v>
      </c>
      <c r="AI411">
        <f t="shared" si="385"/>
        <v>1.5705594786981418</v>
      </c>
      <c r="AJ411" t="str">
        <f t="shared" si="367"/>
        <v>1+10,6957160320297i</v>
      </c>
      <c r="AK411">
        <f t="shared" si="386"/>
        <v>10.742362004597368</v>
      </c>
      <c r="AL411">
        <f t="shared" si="387"/>
        <v>1.4775719564541236</v>
      </c>
      <c r="AM411" t="str">
        <f t="shared" si="368"/>
        <v>1-0,672338382680985i</v>
      </c>
      <c r="AN411">
        <f t="shared" si="388"/>
        <v>1.2050057679638229</v>
      </c>
      <c r="AO411">
        <f t="shared" si="389"/>
        <v>-0.59191890433870453</v>
      </c>
      <c r="AP411" s="41" t="str">
        <f t="shared" si="390"/>
        <v>0,406666529238567-0,332168746043154i</v>
      </c>
      <c r="AQ411">
        <f t="shared" si="391"/>
        <v>-5.5954158768002404</v>
      </c>
      <c r="AR411" s="43">
        <f t="shared" si="392"/>
        <v>-39.242247604576853</v>
      </c>
      <c r="AS411" t="str">
        <f t="shared" si="369"/>
        <v>-0,0000166666666666667</v>
      </c>
      <c r="AT411" t="str">
        <f t="shared" si="370"/>
        <v>0,000813943990037458i</v>
      </c>
      <c r="AU411">
        <f t="shared" si="393"/>
        <v>8.1394399003745796E-4</v>
      </c>
      <c r="AV411">
        <f t="shared" si="394"/>
        <v>1.5707963267948966</v>
      </c>
      <c r="AW411" t="str">
        <f t="shared" si="371"/>
        <v>1+2,55094935586515i</v>
      </c>
      <c r="AX411">
        <f t="shared" si="395"/>
        <v>2.7399530317486871</v>
      </c>
      <c r="AY411">
        <f t="shared" si="396"/>
        <v>1.1971960046136794</v>
      </c>
      <c r="AZ411" t="str">
        <f t="shared" si="372"/>
        <v>1+176,479314528489i</v>
      </c>
      <c r="BA411">
        <f t="shared" si="397"/>
        <v>176.48214769898212</v>
      </c>
      <c r="BB411">
        <f t="shared" si="398"/>
        <v>1.5651300009695006</v>
      </c>
      <c r="BC411" s="41" t="str">
        <f t="shared" si="399"/>
        <v>-0,474393147652329+1,23062932385403i</v>
      </c>
      <c r="BD411">
        <f t="shared" si="400"/>
        <v>2.4042378177095109</v>
      </c>
      <c r="BE411" s="43">
        <f t="shared" si="401"/>
        <v>111.08106513057034</v>
      </c>
      <c r="BF411" s="41" t="str">
        <f t="shared" si="402"/>
        <v>0,384114974568251+0,172343615906414i</v>
      </c>
      <c r="BG411" s="20">
        <f t="shared" si="403"/>
        <v>-7.5142199953357487</v>
      </c>
      <c r="BH411" s="43">
        <f t="shared" si="404"/>
        <v>24.164684480906633</v>
      </c>
      <c r="BI411" s="41" t="str">
        <f t="shared" si="357"/>
        <v>0,215856784498196+0,658034332898062i</v>
      </c>
      <c r="BJ411" s="20">
        <f t="shared" si="405"/>
        <v>-3.1911780590907268</v>
      </c>
      <c r="BK411" s="43">
        <f t="shared" si="358"/>
        <v>71.838817525993491</v>
      </c>
      <c r="BL411">
        <f t="shared" si="406"/>
        <v>-7.5142199953357487</v>
      </c>
      <c r="BM411" s="43">
        <f t="shared" si="407"/>
        <v>24.164684480906633</v>
      </c>
    </row>
    <row r="412" spans="14:65" x14ac:dyDescent="0.25">
      <c r="N412" s="9">
        <v>94</v>
      </c>
      <c r="O412" s="34">
        <f t="shared" si="359"/>
        <v>87096.358995608127</v>
      </c>
      <c r="P412" s="33" t="str">
        <f t="shared" si="360"/>
        <v>54,631621870174</v>
      </c>
      <c r="Q412" s="4" t="str">
        <f t="shared" si="361"/>
        <v>1+4362,20743581373i</v>
      </c>
      <c r="R412" s="4">
        <f t="shared" si="373"/>
        <v>4362.2075504345958</v>
      </c>
      <c r="S412" s="4">
        <f t="shared" si="374"/>
        <v>1.5705670850641451</v>
      </c>
      <c r="T412" s="4" t="str">
        <f t="shared" si="362"/>
        <v>1+10,9448512630009i</v>
      </c>
      <c r="U412" s="4">
        <f t="shared" si="375"/>
        <v>10.990439898803523</v>
      </c>
      <c r="V412" s="4">
        <f t="shared" si="376"/>
        <v>1.4796821418348958</v>
      </c>
      <c r="W412" t="str">
        <f t="shared" si="363"/>
        <v>1-2,17766358807228i</v>
      </c>
      <c r="X412" s="4">
        <f t="shared" si="377"/>
        <v>2.3962926997376255</v>
      </c>
      <c r="Y412" s="4">
        <f t="shared" si="378"/>
        <v>-1.1403116688314043</v>
      </c>
      <c r="Z412" t="str">
        <f t="shared" si="364"/>
        <v>0,969656896998833+0,299193363965211i</v>
      </c>
      <c r="AA412" s="4">
        <f t="shared" si="379"/>
        <v>1.0147665578536891</v>
      </c>
      <c r="AB412" s="4">
        <f t="shared" si="380"/>
        <v>0.29928765020188614</v>
      </c>
      <c r="AC412" s="47" t="str">
        <f t="shared" si="381"/>
        <v>0,0130991758044206-0,324768267947912i</v>
      </c>
      <c r="AD412" s="20">
        <f t="shared" si="382"/>
        <v>-9.7614687479177533</v>
      </c>
      <c r="AE412" s="43">
        <f t="shared" si="383"/>
        <v>-87.690288838837049</v>
      </c>
      <c r="AF412" t="str">
        <f t="shared" si="365"/>
        <v>171,265703090588</v>
      </c>
      <c r="AG412" t="str">
        <f t="shared" si="366"/>
        <v>1+4320,4610345917i</v>
      </c>
      <c r="AH412">
        <f t="shared" si="384"/>
        <v>4320.4611503200886</v>
      </c>
      <c r="AI412">
        <f t="shared" si="385"/>
        <v>1.5705648700188406</v>
      </c>
      <c r="AJ412" t="str">
        <f t="shared" si="367"/>
        <v>1+10,9448512630009i</v>
      </c>
      <c r="AK412">
        <f t="shared" si="386"/>
        <v>10.990439898803523</v>
      </c>
      <c r="AL412">
        <f t="shared" si="387"/>
        <v>1.4796821418348958</v>
      </c>
      <c r="AM412" t="str">
        <f t="shared" si="368"/>
        <v>1-0,687999155438828i</v>
      </c>
      <c r="AN412">
        <f t="shared" si="388"/>
        <v>1.2138133455702902</v>
      </c>
      <c r="AO412">
        <f t="shared" si="389"/>
        <v>-0.6026262162072531</v>
      </c>
      <c r="AP412" s="41" t="str">
        <f t="shared" si="390"/>
        <v>0,406666097856782-0,338042181881218i</v>
      </c>
      <c r="AQ412">
        <f t="shared" si="391"/>
        <v>-5.533854374295287</v>
      </c>
      <c r="AR412" s="43">
        <f t="shared" si="392"/>
        <v>-39.735135568188412</v>
      </c>
      <c r="AS412" t="str">
        <f t="shared" si="369"/>
        <v>-0,0000166666666666667</v>
      </c>
      <c r="AT412" t="str">
        <f t="shared" si="370"/>
        <v>0,000832903181114366i</v>
      </c>
      <c r="AU412">
        <f t="shared" si="393"/>
        <v>8.3290318111436598E-4</v>
      </c>
      <c r="AV412">
        <f t="shared" si="394"/>
        <v>1.5707963267948966</v>
      </c>
      <c r="AW412" t="str">
        <f t="shared" si="371"/>
        <v>1+2,61036859951992i</v>
      </c>
      <c r="AX412">
        <f t="shared" si="395"/>
        <v>2.7953576202982666</v>
      </c>
      <c r="AY412">
        <f t="shared" si="396"/>
        <v>1.2049540261523353</v>
      </c>
      <c r="AZ412" t="str">
        <f t="shared" si="372"/>
        <v>1+180,590045839515i</v>
      </c>
      <c r="BA412">
        <f t="shared" si="397"/>
        <v>180.59281452017447</v>
      </c>
      <c r="BB412">
        <f t="shared" si="398"/>
        <v>1.5652589796249985</v>
      </c>
      <c r="BC412" s="41" t="str">
        <f t="shared" si="399"/>
        <v>-0,455774360494054+1,20974940808485i</v>
      </c>
      <c r="BD412">
        <f t="shared" si="400"/>
        <v>2.2303463730916109</v>
      </c>
      <c r="BE412" s="43">
        <f t="shared" si="401"/>
        <v>110.64395317164109</v>
      </c>
      <c r="BF412" s="41" t="str">
        <f t="shared" si="402"/>
        <v>0,38691795143947+0,163867769808518i</v>
      </c>
      <c r="BG412" s="20">
        <f t="shared" si="403"/>
        <v>-7.531122374826138</v>
      </c>
      <c r="BH412" s="43">
        <f t="shared" si="404"/>
        <v>22.953664332803964</v>
      </c>
      <c r="BI412" s="41" t="str">
        <f t="shared" si="357"/>
        <v>0,223598348753228+0,646035030437345i</v>
      </c>
      <c r="BJ412" s="20">
        <f t="shared" si="405"/>
        <v>-3.3035080012036704</v>
      </c>
      <c r="BK412" s="43">
        <f t="shared" si="358"/>
        <v>70.908817603452647</v>
      </c>
      <c r="BL412">
        <f t="shared" si="406"/>
        <v>-7.531122374826138</v>
      </c>
      <c r="BM412" s="43">
        <f t="shared" si="407"/>
        <v>22.953664332803964</v>
      </c>
    </row>
    <row r="413" spans="14:65" x14ac:dyDescent="0.25">
      <c r="N413" s="9">
        <v>95</v>
      </c>
      <c r="O413" s="34">
        <f t="shared" si="359"/>
        <v>89125.093813374609</v>
      </c>
      <c r="P413" s="33" t="str">
        <f t="shared" si="360"/>
        <v>54,631621870174</v>
      </c>
      <c r="Q413" s="4" t="str">
        <f t="shared" si="361"/>
        <v>1+4463,81629994319i</v>
      </c>
      <c r="R413" s="4">
        <f t="shared" si="373"/>
        <v>4463.8164119549665</v>
      </c>
      <c r="S413" s="4">
        <f t="shared" si="374"/>
        <v>1.5705723032428334</v>
      </c>
      <c r="T413" s="4" t="str">
        <f t="shared" si="362"/>
        <v>1+11,199789598984i</v>
      </c>
      <c r="U413" s="4">
        <f t="shared" si="375"/>
        <v>11.244344670166873</v>
      </c>
      <c r="V413" s="4">
        <f t="shared" si="376"/>
        <v>1.4817450800909797</v>
      </c>
      <c r="W413" t="str">
        <f t="shared" si="363"/>
        <v>1-2,22838788921933i</v>
      </c>
      <c r="X413" s="4">
        <f t="shared" si="377"/>
        <v>2.4424808258857182</v>
      </c>
      <c r="Y413" s="4">
        <f t="shared" si="378"/>
        <v>-1.1489783033284124</v>
      </c>
      <c r="Z413" t="str">
        <f t="shared" si="364"/>
        <v>0,968226870611029+0,306162472682505i</v>
      </c>
      <c r="AA413" s="4">
        <f t="shared" si="379"/>
        <v>1.015479557968693</v>
      </c>
      <c r="AB413" s="4">
        <f t="shared" si="380"/>
        <v>0.30626070543633721</v>
      </c>
      <c r="AC413" s="47" t="str">
        <f t="shared" si="381"/>
        <v>0,00884668733350816-0,330884730987937i</v>
      </c>
      <c r="AD413" s="20">
        <f t="shared" si="382"/>
        <v>-9.6033620719020636</v>
      </c>
      <c r="AE413" s="43">
        <f t="shared" si="383"/>
        <v>-88.468478377489618</v>
      </c>
      <c r="AF413" t="str">
        <f t="shared" si="365"/>
        <v>171,265703090588</v>
      </c>
      <c r="AG413" t="str">
        <f t="shared" si="366"/>
        <v>1+4421,09750011975i</v>
      </c>
      <c r="AH413">
        <f t="shared" si="384"/>
        <v>4421.0976132138394</v>
      </c>
      <c r="AI413">
        <f t="shared" si="385"/>
        <v>1.5705701386181103</v>
      </c>
      <c r="AJ413" t="str">
        <f t="shared" si="367"/>
        <v>1+11,199789598984i</v>
      </c>
      <c r="AK413">
        <f t="shared" si="386"/>
        <v>11.244344670166873</v>
      </c>
      <c r="AL413">
        <f t="shared" si="387"/>
        <v>1.4817450800909797</v>
      </c>
      <c r="AM413" t="str">
        <f t="shared" si="368"/>
        <v>1-0,70402471445563i</v>
      </c>
      <c r="AN413">
        <f t="shared" si="388"/>
        <v>1.222968028430969</v>
      </c>
      <c r="AO413">
        <f t="shared" si="389"/>
        <v>-0.61342201078676128</v>
      </c>
      <c r="AP413" s="41" t="str">
        <f t="shared" si="390"/>
        <v>0,406665685890372-0,344094852149645i</v>
      </c>
      <c r="AQ413">
        <f t="shared" si="391"/>
        <v>-5.470208978675287</v>
      </c>
      <c r="AR413" s="43">
        <f t="shared" si="392"/>
        <v>-40.23579324711698</v>
      </c>
      <c r="AS413" t="str">
        <f t="shared" si="369"/>
        <v>-0,0000166666666666667</v>
      </c>
      <c r="AT413" t="str">
        <f t="shared" si="370"/>
        <v>0,000852303988482679i</v>
      </c>
      <c r="AU413">
        <f t="shared" si="393"/>
        <v>8.5230398848267896E-4</v>
      </c>
      <c r="AV413">
        <f t="shared" si="394"/>
        <v>1.5707963267948966</v>
      </c>
      <c r="AW413" t="str">
        <f t="shared" si="371"/>
        <v>1+2,67117189515846i</v>
      </c>
      <c r="AX413">
        <f t="shared" si="395"/>
        <v>2.8522200640000483</v>
      </c>
      <c r="AY413">
        <f t="shared" si="396"/>
        <v>1.2125802741130038</v>
      </c>
      <c r="AZ413" t="str">
        <f t="shared" si="372"/>
        <v>1+184,796528383235i</v>
      </c>
      <c r="BA413">
        <f t="shared" si="397"/>
        <v>184.79923404196182</v>
      </c>
      <c r="BB413">
        <f t="shared" si="398"/>
        <v>1.5653850225458836</v>
      </c>
      <c r="BC413" s="41" t="str">
        <f t="shared" si="399"/>
        <v>-0,437782686941444+1,18894764783255i</v>
      </c>
      <c r="BD413">
        <f t="shared" si="400"/>
        <v>2.055427300659793</v>
      </c>
      <c r="BE413" s="43">
        <f t="shared" si="401"/>
        <v>110.21422307737879</v>
      </c>
      <c r="BF413" s="41" t="str">
        <f t="shared" si="402"/>
        <v>0,38953169606042+0,155373854696081i</v>
      </c>
      <c r="BG413" s="20">
        <f t="shared" si="403"/>
        <v>-7.5479347712422618</v>
      </c>
      <c r="BH413" s="43">
        <f t="shared" si="404"/>
        <v>21.745744699889237</v>
      </c>
      <c r="BI413" s="41" t="str">
        <f t="shared" si="357"/>
        <v>0,231079568438637+0,634142979630359i</v>
      </c>
      <c r="BJ413" s="20">
        <f t="shared" si="405"/>
        <v>-3.4147816780154923</v>
      </c>
      <c r="BK413" s="43">
        <f t="shared" si="358"/>
        <v>69.978429830261845</v>
      </c>
      <c r="BL413">
        <f t="shared" si="406"/>
        <v>-7.5479347712422618</v>
      </c>
      <c r="BM413" s="43">
        <f t="shared" si="407"/>
        <v>21.745744699889237</v>
      </c>
    </row>
    <row r="414" spans="14:65" x14ac:dyDescent="0.25">
      <c r="N414" s="9">
        <v>96</v>
      </c>
      <c r="O414" s="34">
        <f t="shared" si="359"/>
        <v>91201.083935591028</v>
      </c>
      <c r="P414" s="33" t="str">
        <f t="shared" si="360"/>
        <v>54,631621870174</v>
      </c>
      <c r="Q414" s="4" t="str">
        <f t="shared" si="361"/>
        <v>1+4567,79193856047i</v>
      </c>
      <c r="R414" s="4">
        <f t="shared" si="373"/>
        <v>4567.7920480225475</v>
      </c>
      <c r="S414" s="4">
        <f t="shared" si="374"/>
        <v>1.5705774026412849</v>
      </c>
      <c r="T414" s="4" t="str">
        <f t="shared" si="362"/>
        <v>1+11,4606662116592i</v>
      </c>
      <c r="U414" s="4">
        <f t="shared" si="375"/>
        <v>11.504210968817757</v>
      </c>
      <c r="V414" s="4">
        <f t="shared" si="376"/>
        <v>1.4837617947464847</v>
      </c>
      <c r="W414" t="str">
        <f t="shared" si="363"/>
        <v>1-2,28029371112144i</v>
      </c>
      <c r="X414" s="4">
        <f t="shared" si="377"/>
        <v>2.4899275911118357</v>
      </c>
      <c r="Y414" s="4">
        <f t="shared" si="378"/>
        <v>-1.1575133021266244</v>
      </c>
      <c r="Z414" t="str">
        <f t="shared" si="364"/>
        <v>0,966729449155893+0,313293912795355i</v>
      </c>
      <c r="AA414" s="4">
        <f t="shared" si="379"/>
        <v>1.0162277813855907</v>
      </c>
      <c r="AB414" s="4">
        <f t="shared" si="380"/>
        <v>0.3133960392774035</v>
      </c>
      <c r="AC414" s="47" t="str">
        <f t="shared" si="381"/>
        <v>0,0044065555675076-0,337095657791972i</v>
      </c>
      <c r="AD414" s="20">
        <f t="shared" si="382"/>
        <v>-9.4441947732021561</v>
      </c>
      <c r="AE414" s="43">
        <f t="shared" si="383"/>
        <v>-89.251065237052956</v>
      </c>
      <c r="AF414" t="str">
        <f t="shared" si="365"/>
        <v>171,265703090588</v>
      </c>
      <c r="AG414" t="str">
        <f t="shared" si="366"/>
        <v>1+4524,0780900625i</v>
      </c>
      <c r="AH414">
        <f t="shared" si="384"/>
        <v>4524.0782005822539</v>
      </c>
      <c r="AI414">
        <f t="shared" si="385"/>
        <v>1.5705752872894314</v>
      </c>
      <c r="AJ414" t="str">
        <f t="shared" si="367"/>
        <v>1+11,4606662116592i</v>
      </c>
      <c r="AK414">
        <f t="shared" si="386"/>
        <v>11.504210968817757</v>
      </c>
      <c r="AL414">
        <f t="shared" si="387"/>
        <v>1.4837617947464847</v>
      </c>
      <c r="AM414" t="str">
        <f t="shared" si="368"/>
        <v>1-0,720423556694905i</v>
      </c>
      <c r="AN414">
        <f t="shared" si="388"/>
        <v>1.2324812781705599</v>
      </c>
      <c r="AO414">
        <f t="shared" si="389"/>
        <v>-0.624301946306831</v>
      </c>
      <c r="AP414" s="41" t="str">
        <f t="shared" si="390"/>
        <v>0,406665292465502-0,350329966054925i</v>
      </c>
      <c r="AQ414">
        <f t="shared" si="391"/>
        <v>-5.4044506640663563</v>
      </c>
      <c r="AR414" s="43">
        <f t="shared" si="392"/>
        <v>-40.743913392685734</v>
      </c>
      <c r="AS414" t="str">
        <f t="shared" si="369"/>
        <v>-0,0000166666666666667</v>
      </c>
      <c r="AT414" t="str">
        <f t="shared" si="370"/>
        <v>0,000872156698707262i</v>
      </c>
      <c r="AU414">
        <f t="shared" si="393"/>
        <v>8.7215669870726199E-4</v>
      </c>
      <c r="AV414">
        <f t="shared" si="394"/>
        <v>1.5707963267948966</v>
      </c>
      <c r="AW414" t="str">
        <f t="shared" si="371"/>
        <v>1+2,73339148149295i</v>
      </c>
      <c r="AX414">
        <f t="shared" si="395"/>
        <v>2.9105719353931496</v>
      </c>
      <c r="AY414">
        <f t="shared" si="396"/>
        <v>1.2200752427074715</v>
      </c>
      <c r="AZ414" t="str">
        <f t="shared" si="372"/>
        <v>1+189,100992492376i</v>
      </c>
      <c r="BA414">
        <f t="shared" si="397"/>
        <v>189.10363656366221</v>
      </c>
      <c r="BB414">
        <f t="shared" si="398"/>
        <v>1.5655081965457525</v>
      </c>
      <c r="BC414" s="41" t="str">
        <f t="shared" si="399"/>
        <v>-0,420405093159683+1,16824141624335i</v>
      </c>
      <c r="BD414">
        <f t="shared" si="400"/>
        <v>1.8795154406181271</v>
      </c>
      <c r="BE414" s="43">
        <f t="shared" si="401"/>
        <v>109.79185035967097</v>
      </c>
      <c r="BF414" s="41" t="str">
        <f t="shared" si="402"/>
        <v>0,391956570264506+0,146864652134699i</v>
      </c>
      <c r="BG414" s="20">
        <f t="shared" si="403"/>
        <v>-7.5646793325840225</v>
      </c>
      <c r="BH414" s="43">
        <f t="shared" si="404"/>
        <v>20.540785122618043</v>
      </c>
      <c r="BI414" s="41" t="str">
        <f t="shared" si="357"/>
        <v>0,238305815532721+0,622363739222864i</v>
      </c>
      <c r="BJ414" s="20">
        <f t="shared" si="405"/>
        <v>-3.524935223448225</v>
      </c>
      <c r="BK414" s="43">
        <f t="shared" si="358"/>
        <v>69.04793696698529</v>
      </c>
      <c r="BL414">
        <f t="shared" si="406"/>
        <v>-7.5646793325840225</v>
      </c>
      <c r="BM414" s="43">
        <f t="shared" si="407"/>
        <v>20.540785122618043</v>
      </c>
    </row>
    <row r="415" spans="14:65" x14ac:dyDescent="0.25">
      <c r="N415" s="9">
        <v>97</v>
      </c>
      <c r="O415" s="34">
        <f t="shared" si="359"/>
        <v>93325.430079699145</v>
      </c>
      <c r="P415" s="33" t="str">
        <f t="shared" si="360"/>
        <v>54,631621870174</v>
      </c>
      <c r="Q415" s="4" t="str">
        <f t="shared" si="361"/>
        <v>1+4674,18948092545i</v>
      </c>
      <c r="R415" s="4">
        <f t="shared" si="373"/>
        <v>4674.1895878958658</v>
      </c>
      <c r="S415" s="4">
        <f t="shared" si="374"/>
        <v>1.570582385963267</v>
      </c>
      <c r="T415" s="4" t="str">
        <f t="shared" si="362"/>
        <v>1+11,7276194212596i</v>
      </c>
      <c r="U415" s="4">
        <f t="shared" si="375"/>
        <v>11.770176604023636</v>
      </c>
      <c r="V415" s="4">
        <f t="shared" si="376"/>
        <v>1.4857332894357991</v>
      </c>
      <c r="W415" t="str">
        <f t="shared" si="363"/>
        <v>1-2,33340857493244i</v>
      </c>
      <c r="X415" s="4">
        <f t="shared" si="377"/>
        <v>2.5386601934028588</v>
      </c>
      <c r="Y415" s="4">
        <f t="shared" si="378"/>
        <v>-1.1659162156123029</v>
      </c>
      <c r="Z415" t="str">
        <f t="shared" si="364"/>
        <v>0,965161456401757+0,320591465487705i</v>
      </c>
      <c r="AA415" s="4">
        <f t="shared" si="379"/>
        <v>1.0170130405590259</v>
      </c>
      <c r="AB415" s="4">
        <f t="shared" si="380"/>
        <v>0.32069738934069281</v>
      </c>
      <c r="AC415" s="47" t="str">
        <f t="shared" si="381"/>
        <v>-0,000228832265050346-0,343398745683931i</v>
      </c>
      <c r="AD415" s="20">
        <f t="shared" si="382"/>
        <v>-9.2840239814676266</v>
      </c>
      <c r="AE415" s="43">
        <f t="shared" si="383"/>
        <v>-90.038180457057294</v>
      </c>
      <c r="AF415" t="str">
        <f t="shared" si="365"/>
        <v>171,265703090588</v>
      </c>
      <c r="AG415" t="str">
        <f t="shared" si="366"/>
        <v>1+4629,45740609185i</v>
      </c>
      <c r="AH415">
        <f t="shared" si="384"/>
        <v>4629.4575140958668</v>
      </c>
      <c r="AI415">
        <f t="shared" si="385"/>
        <v>1.5705803187626959</v>
      </c>
      <c r="AJ415" t="str">
        <f t="shared" si="367"/>
        <v>1+11,7276194212596i</v>
      </c>
      <c r="AK415">
        <f t="shared" si="386"/>
        <v>11.770176604023636</v>
      </c>
      <c r="AL415">
        <f t="shared" si="387"/>
        <v>1.4857332894357991</v>
      </c>
      <c r="AM415" t="str">
        <f t="shared" si="368"/>
        <v>1-0,737204377039873i</v>
      </c>
      <c r="AN415">
        <f t="shared" si="388"/>
        <v>1.242364798892317</v>
      </c>
      <c r="AO415">
        <f t="shared" si="389"/>
        <v>-0.63526148850911723</v>
      </c>
      <c r="AP415" s="41" t="str">
        <f t="shared" si="390"/>
        <v>0,406664916747666-0,356750829537539i</v>
      </c>
      <c r="AQ415">
        <f t="shared" si="391"/>
        <v>-5.336551683901174</v>
      </c>
      <c r="AR415" s="43">
        <f t="shared" si="392"/>
        <v>-41.259178863424687</v>
      </c>
      <c r="AS415" t="str">
        <f t="shared" si="369"/>
        <v>-0,0000166666666666667</v>
      </c>
      <c r="AT415" t="str">
        <f t="shared" si="370"/>
        <v>0,000892471837957858i</v>
      </c>
      <c r="AU415">
        <f t="shared" si="393"/>
        <v>8.9247183795785798E-4</v>
      </c>
      <c r="AV415">
        <f t="shared" si="394"/>
        <v>1.5707963267948966</v>
      </c>
      <c r="AW415" t="str">
        <f t="shared" si="371"/>
        <v>1+2,79706034817165i</v>
      </c>
      <c r="AX415">
        <f t="shared" si="395"/>
        <v>2.9704455206776825</v>
      </c>
      <c r="AY415">
        <f t="shared" si="396"/>
        <v>1.2274395366667166</v>
      </c>
      <c r="AZ415" t="str">
        <f t="shared" si="372"/>
        <v>1+193,505720450784i</v>
      </c>
      <c r="BA415">
        <f t="shared" si="397"/>
        <v>193.50830433647278</v>
      </c>
      <c r="BB415">
        <f t="shared" si="398"/>
        <v>1.5656285669181313</v>
      </c>
      <c r="BC415" s="41" t="str">
        <f t="shared" si="399"/>
        <v>-0,403628162138811+1,14764705330938i</v>
      </c>
      <c r="BD415">
        <f t="shared" si="400"/>
        <v>1.7026448907273506</v>
      </c>
      <c r="BE415" s="43">
        <f t="shared" si="401"/>
        <v>109.37680411102825</v>
      </c>
      <c r="BF415" s="41" t="str">
        <f t="shared" si="402"/>
        <v>0,394192921740881+0,138342785926491i</v>
      </c>
      <c r="BG415" s="20">
        <f t="shared" si="403"/>
        <v>-7.5813790907402732</v>
      </c>
      <c r="BH415" s="43">
        <f t="shared" si="404"/>
        <v>19.338623653970973</v>
      </c>
      <c r="BI415" s="41" t="str">
        <f t="shared" si="357"/>
        <v>0,245282625331241+0,610702475057496i</v>
      </c>
      <c r="BJ415" s="20">
        <f t="shared" si="405"/>
        <v>-3.6339067931738271</v>
      </c>
      <c r="BK415" s="43">
        <f t="shared" si="358"/>
        <v>68.117625247603527</v>
      </c>
      <c r="BL415">
        <f t="shared" si="406"/>
        <v>-7.5813790907402732</v>
      </c>
      <c r="BM415" s="43">
        <f t="shared" si="407"/>
        <v>19.338623653970973</v>
      </c>
    </row>
    <row r="416" spans="14:65" x14ac:dyDescent="0.25">
      <c r="N416" s="9">
        <v>98</v>
      </c>
      <c r="O416" s="34">
        <f t="shared" si="359"/>
        <v>95499.258602143804</v>
      </c>
      <c r="P416" s="33" t="str">
        <f t="shared" si="360"/>
        <v>54,631621870174</v>
      </c>
      <c r="Q416" s="4" t="str">
        <f t="shared" si="361"/>
        <v>1+4783,06534042344i</v>
      </c>
      <c r="R416" s="4">
        <f t="shared" si="373"/>
        <v>4783.0654449589119</v>
      </c>
      <c r="S416" s="4">
        <f t="shared" si="374"/>
        <v>1.5705872558510026</v>
      </c>
      <c r="T416" s="4" t="str">
        <f t="shared" si="362"/>
        <v>1+12,0007907699107i</v>
      </c>
      <c r="U416" s="4">
        <f t="shared" si="375"/>
        <v>12.042382617371608</v>
      </c>
      <c r="V416" s="4">
        <f t="shared" si="376"/>
        <v>1.4876605481351706</v>
      </c>
      <c r="W416" t="str">
        <f t="shared" si="363"/>
        <v>1-2,38776064285619i</v>
      </c>
      <c r="X416" s="4">
        <f t="shared" si="377"/>
        <v>2.5887064120083232</v>
      </c>
      <c r="Y416" s="4">
        <f t="shared" si="378"/>
        <v>-1.1741867515036124</v>
      </c>
      <c r="Z416" t="str">
        <f t="shared" si="364"/>
        <v>0,963519566425763+0,328059000018586i</v>
      </c>
      <c r="AA416" s="4">
        <f t="shared" si="379"/>
        <v>1.0178372474902286</v>
      </c>
      <c r="AB416" s="4">
        <f t="shared" si="380"/>
        <v>0.32816857353588152</v>
      </c>
      <c r="AC416" s="47" t="str">
        <f t="shared" si="381"/>
        <v>-0,00506732931248358-0,349791365769417i</v>
      </c>
      <c r="AD416" s="20">
        <f t="shared" si="382"/>
        <v>-9.1229069598770973</v>
      </c>
      <c r="AE416" s="43">
        <f t="shared" si="383"/>
        <v>-90.82996981480008</v>
      </c>
      <c r="AF416" t="str">
        <f t="shared" si="365"/>
        <v>171,265703090588</v>
      </c>
      <c r="AG416" t="str">
        <f t="shared" si="366"/>
        <v>1+4737,29132171604i</v>
      </c>
      <c r="AH416">
        <f t="shared" si="384"/>
        <v>4737.2914272615844</v>
      </c>
      <c r="AI416">
        <f t="shared" si="385"/>
        <v>1.5705852357056569</v>
      </c>
      <c r="AJ416" t="str">
        <f t="shared" si="367"/>
        <v>1+12,0007907699107i</v>
      </c>
      <c r="AK416">
        <f t="shared" si="386"/>
        <v>12.042382617371608</v>
      </c>
      <c r="AL416">
        <f t="shared" si="387"/>
        <v>1.4876605481351706</v>
      </c>
      <c r="AM416" t="str">
        <f t="shared" si="368"/>
        <v>1-0,754376072903602i</v>
      </c>
      <c r="AN416">
        <f t="shared" si="388"/>
        <v>1.2526305358602194</v>
      </c>
      <c r="AO416">
        <f t="shared" si="389"/>
        <v>-0.64629591762172334</v>
      </c>
      <c r="AP416" s="41" t="str">
        <f t="shared" si="390"/>
        <v>0,406664557939918-0,363360847024826i</v>
      </c>
      <c r="AQ416">
        <f t="shared" si="391"/>
        <v>-5.2664856872023771</v>
      </c>
      <c r="AR416" s="43">
        <f t="shared" si="392"/>
        <v>-41.78126301148928</v>
      </c>
      <c r="AS416" t="str">
        <f t="shared" si="369"/>
        <v>-0,0000166666666666667</v>
      </c>
      <c r="AT416" t="str">
        <f t="shared" si="370"/>
        <v>0,000913260177590202i</v>
      </c>
      <c r="AU416">
        <f t="shared" si="393"/>
        <v>9.1326017759020203E-4</v>
      </c>
      <c r="AV416">
        <f t="shared" si="394"/>
        <v>1.5707963267948966</v>
      </c>
      <c r="AW416" t="str">
        <f t="shared" si="371"/>
        <v>1+2,86221225327042i</v>
      </c>
      <c r="AX416">
        <f t="shared" si="395"/>
        <v>3.0318738401805798</v>
      </c>
      <c r="AY416">
        <f t="shared" si="396"/>
        <v>1.2346738645764719</v>
      </c>
      <c r="AZ416" t="str">
        <f t="shared" si="372"/>
        <v>1+198,013047703526i</v>
      </c>
      <c r="BA416">
        <f t="shared" si="397"/>
        <v>198.01557277355454</v>
      </c>
      <c r="BB416">
        <f t="shared" si="398"/>
        <v>1.5657461974710247</v>
      </c>
      <c r="BC416" s="41" t="str">
        <f t="shared" si="399"/>
        <v>-0,387438158658641+1,1271798820306i</v>
      </c>
      <c r="BD416">
        <f t="shared" si="400"/>
        <v>1.5248489866027377</v>
      </c>
      <c r="BE416" s="43">
        <f t="shared" si="401"/>
        <v>108.96904738840803</v>
      </c>
      <c r="BF416" s="41" t="str">
        <f t="shared" si="402"/>
        <v>0,39624106714144+0,129810731011739i</v>
      </c>
      <c r="BG416" s="20">
        <f t="shared" si="403"/>
        <v>-7.5980579732743481</v>
      </c>
      <c r="BH416" s="43">
        <f t="shared" si="404"/>
        <v>18.13907757360797</v>
      </c>
      <c r="BI416" s="41" t="str">
        <f t="shared" si="357"/>
        <v>0,25201566916401+0,599163965944686i</v>
      </c>
      <c r="BJ416" s="20">
        <f t="shared" si="405"/>
        <v>-3.7416367005996349</v>
      </c>
      <c r="BK416" s="43">
        <f t="shared" si="358"/>
        <v>67.187784376918799</v>
      </c>
      <c r="BL416">
        <f t="shared" si="406"/>
        <v>-7.5980579732743481</v>
      </c>
      <c r="BM416" s="43">
        <f t="shared" si="407"/>
        <v>18.13907757360797</v>
      </c>
    </row>
    <row r="417" spans="14:65" x14ac:dyDescent="0.25">
      <c r="N417" s="9">
        <v>99</v>
      </c>
      <c r="O417" s="34">
        <f t="shared" si="359"/>
        <v>97723.722095581266</v>
      </c>
      <c r="P417" s="33" t="str">
        <f t="shared" si="360"/>
        <v>54,631621870174</v>
      </c>
      <c r="Q417" s="4" t="str">
        <f t="shared" si="361"/>
        <v>1+4894,47724447626i</v>
      </c>
      <c r="R417" s="4">
        <f t="shared" si="373"/>
        <v>4894.4773466322149</v>
      </c>
      <c r="S417" s="4">
        <f t="shared" si="374"/>
        <v>1.5705920148865689</v>
      </c>
      <c r="T417" s="4" t="str">
        <f t="shared" si="362"/>
        <v>1+12,2803250966771i</v>
      </c>
      <c r="U417" s="4">
        <f t="shared" si="375"/>
        <v>12.320973357656342</v>
      </c>
      <c r="V417" s="4">
        <f t="shared" si="376"/>
        <v>1.4895445354030961</v>
      </c>
      <c r="W417" t="str">
        <f t="shared" si="363"/>
        <v>1-2,44337873307853i</v>
      </c>
      <c r="X417" s="4">
        <f t="shared" si="377"/>
        <v>2.6400946258156055</v>
      </c>
      <c r="Y417" s="4">
        <f t="shared" si="378"/>
        <v>-1.1823247681428439</v>
      </c>
      <c r="Z417" t="str">
        <f t="shared" si="364"/>
        <v>0,961800296559142+0,335700475773651i</v>
      </c>
      <c r="AA417" s="4">
        <f t="shared" si="379"/>
        <v>1.0187024196966989</v>
      </c>
      <c r="AB417" s="4">
        <f t="shared" si="380"/>
        <v>0.33581349102581382</v>
      </c>
      <c r="AC417" s="47" t="str">
        <f t="shared" si="381"/>
        <v>-0,0101170291505855-0,356270537979443i</v>
      </c>
      <c r="AD417" s="20">
        <f t="shared" si="382"/>
        <v>-8.9609011040343258</v>
      </c>
      <c r="AE417" s="43">
        <f t="shared" si="383"/>
        <v>-91.626593482278139</v>
      </c>
      <c r="AF417" t="str">
        <f t="shared" si="365"/>
        <v>171,265703090588</v>
      </c>
      <c r="AG417" t="str">
        <f t="shared" si="366"/>
        <v>1+4847,63701190445i</v>
      </c>
      <c r="AH417">
        <f t="shared" si="384"/>
        <v>4847.6371150474852</v>
      </c>
      <c r="AI417">
        <f t="shared" si="385"/>
        <v>1.5705900407253415</v>
      </c>
      <c r="AJ417" t="str">
        <f t="shared" si="367"/>
        <v>1+12,2803250966771i</v>
      </c>
      <c r="AK417">
        <f t="shared" si="386"/>
        <v>12.320973357656342</v>
      </c>
      <c r="AL417">
        <f t="shared" si="387"/>
        <v>1.4895445354030961</v>
      </c>
      <c r="AM417" t="str">
        <f t="shared" si="368"/>
        <v>1-0,77194774894653i</v>
      </c>
      <c r="AN417">
        <f t="shared" si="388"/>
        <v>1.2632906740349248</v>
      </c>
      <c r="AO417">
        <f t="shared" si="389"/>
        <v>-0.65740033631969297</v>
      </c>
      <c r="AP417" s="41" t="str">
        <f t="shared" si="390"/>
        <v>0,406664215281176-0,370163523236033i</v>
      </c>
      <c r="AQ417">
        <f t="shared" si="391"/>
        <v>-5.1942278316086208</v>
      </c>
      <c r="AR417" s="43">
        <f t="shared" si="392"/>
        <v>-42.309830125069006</v>
      </c>
      <c r="AS417" t="str">
        <f t="shared" si="369"/>
        <v>-0,0000166666666666667</v>
      </c>
      <c r="AT417" t="str">
        <f t="shared" si="370"/>
        <v>0,000934532739857131i</v>
      </c>
      <c r="AU417">
        <f t="shared" si="393"/>
        <v>9.3453273985713103E-4</v>
      </c>
      <c r="AV417">
        <f t="shared" si="394"/>
        <v>1.5707963267948966</v>
      </c>
      <c r="AW417" t="str">
        <f t="shared" si="371"/>
        <v>1+2,92888174119172i</v>
      </c>
      <c r="AX417">
        <f t="shared" si="395"/>
        <v>3.0948906691329565</v>
      </c>
      <c r="AY417">
        <f t="shared" si="396"/>
        <v>1.2417790323287816</v>
      </c>
      <c r="AZ417" t="str">
        <f t="shared" si="372"/>
        <v>1+202,625364095173i</v>
      </c>
      <c r="BA417">
        <f t="shared" si="397"/>
        <v>202.6278316882985</v>
      </c>
      <c r="BB417">
        <f t="shared" si="398"/>
        <v>1.5658611505606799</v>
      </c>
      <c r="BC417" s="41" t="str">
        <f t="shared" si="399"/>
        <v>-0,371821090630454+1,10685422781768i</v>
      </c>
      <c r="BD417">
        <f t="shared" si="400"/>
        <v>1.3461602855587511</v>
      </c>
      <c r="BE417" s="43">
        <f t="shared" si="401"/>
        <v>108.56853759034759</v>
      </c>
      <c r="BF417" s="41" t="str">
        <f t="shared" si="402"/>
        <v>0,398101276022137+0,121270823502735i</v>
      </c>
      <c r="BG417" s="20">
        <f t="shared" si="403"/>
        <v>-7.6147408184755685</v>
      </c>
      <c r="BH417" s="43">
        <f t="shared" si="404"/>
        <v>16.941944108069443</v>
      </c>
      <c r="BI417" s="41" t="str">
        <f t="shared" si="357"/>
        <v>0,258510728631467+0,587752610907362i</v>
      </c>
      <c r="BJ417" s="20">
        <f t="shared" si="405"/>
        <v>-3.8480675460498706</v>
      </c>
      <c r="BK417" s="43">
        <f t="shared" si="358"/>
        <v>66.258707465278533</v>
      </c>
      <c r="BL417">
        <f t="shared" si="406"/>
        <v>-7.6147408184755685</v>
      </c>
      <c r="BM417" s="43">
        <f t="shared" si="407"/>
        <v>16.941944108069443</v>
      </c>
    </row>
    <row r="418" spans="14:65" x14ac:dyDescent="0.25">
      <c r="N418" s="9">
        <v>100</v>
      </c>
      <c r="O418" s="34">
        <f t="shared" si="359"/>
        <v>100000</v>
      </c>
      <c r="P418" s="33" t="str">
        <f t="shared" si="360"/>
        <v>54,631621870174</v>
      </c>
      <c r="Q418" s="4" t="str">
        <f t="shared" si="361"/>
        <v>1+5008,48426515016i</v>
      </c>
      <c r="R418" s="4">
        <f t="shared" si="373"/>
        <v>5008.4843649807617</v>
      </c>
      <c r="S418" s="4">
        <f t="shared" si="374"/>
        <v>1.5705966655932693</v>
      </c>
      <c r="T418" s="4" t="str">
        <f t="shared" si="362"/>
        <v>1+12,5663706143592i</v>
      </c>
      <c r="U418" s="4">
        <f t="shared" si="375"/>
        <v>12.606096557516542</v>
      </c>
      <c r="V418" s="4">
        <f t="shared" si="376"/>
        <v>1.4913861966284643</v>
      </c>
      <c r="W418" t="str">
        <f t="shared" si="363"/>
        <v>1-2,50029233504708i</v>
      </c>
      <c r="X418" s="4">
        <f t="shared" si="377"/>
        <v>2.6928538320330682</v>
      </c>
      <c r="Y418" s="4">
        <f t="shared" si="378"/>
        <v>-1.1903302676937044</v>
      </c>
      <c r="Z418" t="str">
        <f t="shared" si="364"/>
        <v>0,96+0,343519944364491i</v>
      </c>
      <c r="AA418" s="4">
        <f t="shared" si="379"/>
        <v>1.0196106865741368</v>
      </c>
      <c r="AB418" s="4">
        <f t="shared" si="380"/>
        <v>0.34363612309566416</v>
      </c>
      <c r="AC418" s="47" t="str">
        <f t="shared" si="381"/>
        <v>-0,0153862647841361-0,362832904670339i</v>
      </c>
      <c r="AD418" s="20">
        <f t="shared" si="382"/>
        <v>-8.7980639476959492</v>
      </c>
      <c r="AE418" s="43">
        <f t="shared" si="383"/>
        <v>-92.428225672081624</v>
      </c>
      <c r="AF418" t="str">
        <f t="shared" si="365"/>
        <v>171,265703090588</v>
      </c>
      <c r="AG418" t="str">
        <f t="shared" si="366"/>
        <v>1+4960,55298340263i</v>
      </c>
      <c r="AH418">
        <f t="shared" si="384"/>
        <v>4960.5530841978434</v>
      </c>
      <c r="AI418">
        <f t="shared" si="385"/>
        <v>1.5705947363694341</v>
      </c>
      <c r="AJ418" t="str">
        <f t="shared" si="367"/>
        <v>1+12,5663706143592i</v>
      </c>
      <c r="AK418">
        <f t="shared" si="386"/>
        <v>12.606096557516542</v>
      </c>
      <c r="AL418">
        <f t="shared" si="387"/>
        <v>1.4913861966284643</v>
      </c>
      <c r="AM418" t="str">
        <f t="shared" si="368"/>
        <v>1-0,789928721903887i</v>
      </c>
      <c r="AN418">
        <f t="shared" si="388"/>
        <v>1.2743576364932681</v>
      </c>
      <c r="AO418">
        <f t="shared" si="389"/>
        <v>-0.66856967865532613</v>
      </c>
      <c r="AP418" s="41" t="str">
        <f t="shared" si="390"/>
        <v>0,40666388804462-0,377162465040591i</v>
      </c>
      <c r="AQ418">
        <f t="shared" si="391"/>
        <v>-5.1197548923738694</v>
      </c>
      <c r="AR418" s="43">
        <f t="shared" si="392"/>
        <v>-42.844535925919615</v>
      </c>
      <c r="AS418" t="str">
        <f t="shared" si="369"/>
        <v>-0,0000166666666666667</v>
      </c>
      <c r="AT418" t="str">
        <f t="shared" si="370"/>
        <v>0,000956300803752733i</v>
      </c>
      <c r="AU418">
        <f t="shared" si="393"/>
        <v>9.5630080375273298E-4</v>
      </c>
      <c r="AV418">
        <f t="shared" si="394"/>
        <v>1.5707963267948966</v>
      </c>
      <c r="AW418" t="str">
        <f t="shared" si="371"/>
        <v>1+2,99710416098054i</v>
      </c>
      <c r="AX418">
        <f t="shared" si="395"/>
        <v>3.1595305587645246</v>
      </c>
      <c r="AY418">
        <f t="shared" si="396"/>
        <v>1.2487559367091678</v>
      </c>
      <c r="AZ418" t="str">
        <f t="shared" si="372"/>
        <v>1+207,345115136926i</v>
      </c>
      <c r="BA418">
        <f t="shared" si="397"/>
        <v>207.34752656143527</v>
      </c>
      <c r="BB418">
        <f t="shared" si="398"/>
        <v>1.5659734871245876</v>
      </c>
      <c r="BC418" s="41" t="str">
        <f t="shared" si="399"/>
        <v>-0,356762766767141+1,08668344072962i</v>
      </c>
      <c r="BD418">
        <f t="shared" si="400"/>
        <v>1.166610553797462</v>
      </c>
      <c r="BE418" s="43">
        <f t="shared" si="401"/>
        <v>108.17522682628191</v>
      </c>
      <c r="BF418" s="41" t="str">
        <f t="shared" si="402"/>
        <v>0,399773755651686+0,112725271788746i</v>
      </c>
      <c r="BG418" s="20">
        <f t="shared" si="403"/>
        <v>-7.6314533938984948</v>
      </c>
      <c r="BH418" s="43">
        <f t="shared" si="404"/>
        <v>15.747001154200248</v>
      </c>
      <c r="BI418" s="41" t="str">
        <f t="shared" si="357"/>
        <v>0,264773671381293+0,576472437629409i</v>
      </c>
      <c r="BJ418" s="20">
        <f t="shared" si="405"/>
        <v>-3.953144338576406</v>
      </c>
      <c r="BK418" s="43">
        <f t="shared" si="358"/>
        <v>65.330690900362313</v>
      </c>
      <c r="BL418">
        <f t="shared" si="406"/>
        <v>-7.6314533938984948</v>
      </c>
      <c r="BM418" s="43">
        <f t="shared" si="407"/>
        <v>15.747001154200248</v>
      </c>
    </row>
    <row r="419" spans="14:65" x14ac:dyDescent="0.25">
      <c r="N419" s="9">
        <v>1</v>
      </c>
      <c r="O419" s="34">
        <f>10^(5+(N419/100))</f>
        <v>102329.29922807543</v>
      </c>
      <c r="P419" s="33" t="str">
        <f t="shared" si="360"/>
        <v>54,631621870174</v>
      </c>
      <c r="Q419" s="4" t="str">
        <f t="shared" si="361"/>
        <v>1+5125,14685047658i</v>
      </c>
      <c r="R419" s="4">
        <f t="shared" si="373"/>
        <v>5125.1469480347596</v>
      </c>
      <c r="S419" s="4">
        <f t="shared" si="374"/>
        <v>1.5706012104369689</v>
      </c>
      <c r="T419" s="4" t="str">
        <f t="shared" si="362"/>
        <v>1+12,8590789880765i</v>
      </c>
      <c r="U419" s="4">
        <f t="shared" si="375"/>
        <v>12.897903411856927</v>
      </c>
      <c r="V419" s="4">
        <f t="shared" si="376"/>
        <v>1.4931864582854368</v>
      </c>
      <c r="W419" t="str">
        <f t="shared" si="363"/>
        <v>1-2,55853162510696i</v>
      </c>
      <c r="X419" s="4">
        <f t="shared" si="377"/>
        <v>2.7470136651775983</v>
      </c>
      <c r="Y419" s="4">
        <f t="shared" si="378"/>
        <v>-1.1982033892828716</v>
      </c>
      <c r="Z419" t="str">
        <f t="shared" si="364"/>
        <v>0,958114858077964+0,351521551776859i</v>
      </c>
      <c r="AA419" s="4">
        <f t="shared" si="379"/>
        <v>1.0205642961780352</v>
      </c>
      <c r="AB419" s="4">
        <f t="shared" si="380"/>
        <v>0.3516405339171691</v>
      </c>
      <c r="AC419" s="47" t="str">
        <f t="shared" si="381"/>
        <v>-0,0208836064567706-0,369474702731925i</v>
      </c>
      <c r="AD419" s="20">
        <f t="shared" si="382"/>
        <v>-8.634453175334853</v>
      </c>
      <c r="AE419" s="43">
        <f t="shared" si="383"/>
        <v>-93.235054273694118</v>
      </c>
      <c r="AF419" t="str">
        <f t="shared" si="365"/>
        <v>171,265703090588</v>
      </c>
      <c r="AG419" t="str">
        <f t="shared" si="366"/>
        <v>1+5076,0991057533i</v>
      </c>
      <c r="AH419">
        <f t="shared" si="384"/>
        <v>5076.0992042541347</v>
      </c>
      <c r="AI419">
        <f t="shared" si="385"/>
        <v>1.5705993251276262</v>
      </c>
      <c r="AJ419" t="str">
        <f t="shared" si="367"/>
        <v>1+12,8590789880765i</v>
      </c>
      <c r="AK419">
        <f t="shared" si="386"/>
        <v>12.897903411856927</v>
      </c>
      <c r="AL419">
        <f t="shared" si="387"/>
        <v>1.4931864582854368</v>
      </c>
      <c r="AM419" t="str">
        <f t="shared" si="368"/>
        <v>1-0,80832852552554i</v>
      </c>
      <c r="AN419">
        <f t="shared" si="388"/>
        <v>1.2858440827636504</v>
      </c>
      <c r="AO419">
        <f t="shared" si="389"/>
        <v>-0.67979871993279561</v>
      </c>
      <c r="AP419" s="41" t="str">
        <f t="shared" si="390"/>
        <v>0,40666357553613-0,384361383370507i</v>
      </c>
      <c r="AQ419">
        <f t="shared" si="391"/>
        <v>-5.0430453665762549</v>
      </c>
      <c r="AR419" s="43">
        <f t="shared" si="392"/>
        <v>-43.385028120610698</v>
      </c>
      <c r="AS419" t="str">
        <f t="shared" si="369"/>
        <v>-0,0000166666666666667</v>
      </c>
      <c r="AT419" t="str">
        <f t="shared" si="370"/>
        <v>0,000978575910992625i</v>
      </c>
      <c r="AU419">
        <f t="shared" si="393"/>
        <v>9.7857591099262506E-4</v>
      </c>
      <c r="AV419">
        <f t="shared" si="394"/>
        <v>1.5707963267948966</v>
      </c>
      <c r="AW419" t="str">
        <f t="shared" si="371"/>
        <v>1+3,06691568506687i</v>
      </c>
      <c r="AX419">
        <f t="shared" si="395"/>
        <v>3.2258288577215608</v>
      </c>
      <c r="AY419">
        <f t="shared" si="396"/>
        <v>1.2556055591364361</v>
      </c>
      <c r="AZ419" t="str">
        <f t="shared" si="372"/>
        <v>1+212,174803303263i</v>
      </c>
      <c r="BA419">
        <f t="shared" si="397"/>
        <v>212.17715983766573</v>
      </c>
      <c r="BB419">
        <f t="shared" si="398"/>
        <v>1.5660832667137334</v>
      </c>
      <c r="BC419" s="41" t="str">
        <f t="shared" si="399"/>
        <v>-0,342248850567686+1,06667992015813i</v>
      </c>
      <c r="BD419">
        <f t="shared" si="400"/>
        <v>0.98623075673238314</v>
      </c>
      <c r="BE419" s="43">
        <f t="shared" si="401"/>
        <v>107.78906227707614</v>
      </c>
      <c r="BF419" s="41" t="str">
        <f t="shared" si="402"/>
        <v>0,401258636716076+0,104176168655917i</v>
      </c>
      <c r="BG419" s="20">
        <f t="shared" si="403"/>
        <v>-7.6482224186024776</v>
      </c>
      <c r="BH419" s="43">
        <f t="shared" si="404"/>
        <v>14.554008003382037</v>
      </c>
      <c r="BI419" s="41" t="str">
        <f t="shared" si="357"/>
        <v>0,270810428430535+0,565327111945261i</v>
      </c>
      <c r="BJ419" s="20">
        <f t="shared" si="405"/>
        <v>-4.0568146098438653</v>
      </c>
      <c r="BK419" s="43">
        <f t="shared" si="358"/>
        <v>64.404034156465471</v>
      </c>
      <c r="BL419">
        <f t="shared" si="406"/>
        <v>-7.6482224186024776</v>
      </c>
      <c r="BM419" s="43">
        <f t="shared" si="407"/>
        <v>14.554008003382037</v>
      </c>
    </row>
    <row r="420" spans="14:65" x14ac:dyDescent="0.25">
      <c r="N420" s="9">
        <v>2</v>
      </c>
      <c r="O420" s="34">
        <f t="shared" ref="O420:O483" si="408">10^(5+(N420/100))</f>
        <v>104712.85480508996</v>
      </c>
      <c r="P420" s="33" t="str">
        <f t="shared" si="360"/>
        <v>54,631621870174</v>
      </c>
      <c r="Q420" s="4" t="str">
        <f t="shared" si="361"/>
        <v>1+5244,52685650247i</v>
      </c>
      <c r="R420" s="4">
        <f t="shared" si="373"/>
        <v>5244.5269518399537</v>
      </c>
      <c r="S420" s="4">
        <f t="shared" si="374"/>
        <v>1.5706056518274034</v>
      </c>
      <c r="T420" s="4" t="str">
        <f t="shared" si="362"/>
        <v>1+13,1586054156834i</v>
      </c>
      <c r="U420" s="4">
        <f t="shared" si="375"/>
        <v>13.196548658101957</v>
      </c>
      <c r="V420" s="4">
        <f t="shared" si="376"/>
        <v>1.4949462281941666</v>
      </c>
      <c r="W420" t="str">
        <f t="shared" si="363"/>
        <v>1-2,61812748250064i</v>
      </c>
      <c r="X420" s="4">
        <f t="shared" si="377"/>
        <v>2.8026044163643826</v>
      </c>
      <c r="Y420" s="4">
        <f t="shared" si="378"/>
        <v>-1.2059444021221302</v>
      </c>
      <c r="Z420" t="str">
        <f t="shared" si="364"/>
        <v>0,956140872154272+0,359709540568916i</v>
      </c>
      <c r="AA420" s="4">
        <f t="shared" si="379"/>
        <v>1.0215656224541978</v>
      </c>
      <c r="AB420" s="4">
        <f t="shared" si="380"/>
        <v>0.35983087119118901</v>
      </c>
      <c r="AC420" s="47" t="str">
        <f t="shared" si="381"/>
        <v>-0,0266178581127238-0,376191734160288i</v>
      </c>
      <c r="AD420" s="20">
        <f t="shared" si="382"/>
        <v>-8.470126641522091</v>
      </c>
      <c r="AE420" s="43">
        <f t="shared" si="383"/>
        <v>-94.047280481372923</v>
      </c>
      <c r="AF420" t="str">
        <f t="shared" si="365"/>
        <v>171,265703090588</v>
      </c>
      <c r="AG420" t="str">
        <f t="shared" si="366"/>
        <v>1+5194,33664303995i</v>
      </c>
      <c r="AH420">
        <f t="shared" si="384"/>
        <v>5194.336739298632</v>
      </c>
      <c r="AI420">
        <f t="shared" si="385"/>
        <v>1.5706038094329375</v>
      </c>
      <c r="AJ420" t="str">
        <f t="shared" si="367"/>
        <v>1+13,1586054156834i</v>
      </c>
      <c r="AK420">
        <f t="shared" si="386"/>
        <v>13.196548658101957</v>
      </c>
      <c r="AL420">
        <f t="shared" si="387"/>
        <v>1.4949462281941666</v>
      </c>
      <c r="AM420" t="str">
        <f t="shared" si="368"/>
        <v>1-0,82715691563092i</v>
      </c>
      <c r="AN420">
        <f t="shared" si="388"/>
        <v>1.2977629071121031</v>
      </c>
      <c r="AO420">
        <f t="shared" si="389"/>
        <v>-0.69108208749227762</v>
      </c>
      <c r="AP420" s="41" t="str">
        <f t="shared" si="390"/>
        <v>0,40666327709284-0,391764095187971i</v>
      </c>
      <c r="AQ420">
        <f t="shared" si="391"/>
        <v>-4.9640795717817863</v>
      </c>
      <c r="AR420" s="43">
        <f t="shared" si="392"/>
        <v>-43.93094700354807</v>
      </c>
      <c r="AS420" t="str">
        <f t="shared" si="369"/>
        <v>-0,0000166666666666667</v>
      </c>
      <c r="AT420" t="str">
        <f t="shared" si="370"/>
        <v>0,00100136987213351i</v>
      </c>
      <c r="AU420">
        <f t="shared" si="393"/>
        <v>1.0013698721335099E-3</v>
      </c>
      <c r="AV420">
        <f t="shared" si="394"/>
        <v>1.5707963267948966</v>
      </c>
      <c r="AW420" t="str">
        <f t="shared" si="371"/>
        <v>1+3,13835332844486i</v>
      </c>
      <c r="AX420">
        <f t="shared" si="395"/>
        <v>3.293821733816348</v>
      </c>
      <c r="AY420">
        <f t="shared" si="396"/>
        <v>1.262328959569748</v>
      </c>
      <c r="AZ420" t="str">
        <f t="shared" si="372"/>
        <v>1+217,116989358776i</v>
      </c>
      <c r="BA420">
        <f t="shared" si="397"/>
        <v>217.11929225248241</v>
      </c>
      <c r="BB420">
        <f t="shared" si="398"/>
        <v>1.5661905475241185</v>
      </c>
      <c r="BC420" s="41" t="str">
        <f t="shared" si="399"/>
        <v>-0,328264910632236+1,04685514159181i</v>
      </c>
      <c r="BD420">
        <f t="shared" si="400"/>
        <v>0.80505105224235818</v>
      </c>
      <c r="BE420" s="43">
        <f t="shared" si="401"/>
        <v>107.40998654592877</v>
      </c>
      <c r="BF420" s="41" t="str">
        <f t="shared" si="402"/>
        <v>0,402555959944632+0,0956255043712466i</v>
      </c>
      <c r="BG420" s="20">
        <f t="shared" si="403"/>
        <v>-7.6650755892797262</v>
      </c>
      <c r="BH420" s="43">
        <f t="shared" si="404"/>
        <v>13.362706064555825</v>
      </c>
      <c r="BI420" s="41" t="str">
        <f t="shared" si="357"/>
        <v>0,276626973026297+0,554319948217013i</v>
      </c>
      <c r="BJ420" s="20">
        <f t="shared" si="405"/>
        <v>-4.1590285195394232</v>
      </c>
      <c r="BK420" s="43">
        <f t="shared" si="358"/>
        <v>63.479039542380754</v>
      </c>
      <c r="BL420">
        <f t="shared" si="406"/>
        <v>-7.6650755892797262</v>
      </c>
      <c r="BM420" s="43">
        <f t="shared" si="407"/>
        <v>13.362706064555825</v>
      </c>
    </row>
    <row r="421" spans="14:65" x14ac:dyDescent="0.25">
      <c r="N421" s="9">
        <v>3</v>
      </c>
      <c r="O421" s="34">
        <f t="shared" si="408"/>
        <v>107151.93052376082</v>
      </c>
      <c r="P421" s="33" t="str">
        <f t="shared" si="360"/>
        <v>54,631621870174</v>
      </c>
      <c r="Q421" s="4" t="str">
        <f t="shared" si="361"/>
        <v>1+5366,68758008719i</v>
      </c>
      <c r="R421" s="4">
        <f t="shared" si="373"/>
        <v>5366.6876732545279</v>
      </c>
      <c r="S421" s="4">
        <f t="shared" si="374"/>
        <v>1.5706099921194561</v>
      </c>
      <c r="T421" s="4" t="str">
        <f t="shared" si="362"/>
        <v>1+13,4651087100564i</v>
      </c>
      <c r="U421" s="4">
        <f t="shared" si="375"/>
        <v>13.502190658320476</v>
      </c>
      <c r="V421" s="4">
        <f t="shared" si="376"/>
        <v>1.4966663957864759</v>
      </c>
      <c r="W421" t="str">
        <f t="shared" si="363"/>
        <v>1-2,67911150574056i</v>
      </c>
      <c r="X421" s="4">
        <f t="shared" si="377"/>
        <v>2.8596570528983802</v>
      </c>
      <c r="Y421" s="4">
        <f t="shared" si="378"/>
        <v>-1.2135536986445077</v>
      </c>
      <c r="Z421" t="str">
        <f t="shared" si="364"/>
        <v>0,954073855140124+0,368088252120702i</v>
      </c>
      <c r="AA421" s="4">
        <f t="shared" si="379"/>
        <v>1.0226171729494924</v>
      </c>
      <c r="AB421" s="4">
        <f t="shared" si="380"/>
        <v>0.36821136665003384</v>
      </c>
      <c r="AC421" s="47" t="str">
        <f t="shared" si="381"/>
        <v>-0,0325980523390648-0,382979335056639i</v>
      </c>
      <c r="AD421" s="20">
        <f t="shared" si="382"/>
        <v>-8.3051423971002123</v>
      </c>
      <c r="AE421" s="43">
        <f t="shared" si="383"/>
        <v>-94.865118414511045</v>
      </c>
      <c r="AF421" t="str">
        <f t="shared" si="365"/>
        <v>171,265703090588</v>
      </c>
      <c r="AG421" t="str">
        <f t="shared" si="366"/>
        <v>1+5315,32828636993i</v>
      </c>
      <c r="AH421">
        <f t="shared" si="384"/>
        <v>5315.328380437496</v>
      </c>
      <c r="AI421">
        <f t="shared" si="385"/>
        <v>1.5706081916630052</v>
      </c>
      <c r="AJ421" t="str">
        <f t="shared" si="367"/>
        <v>1+13,4651087100564i</v>
      </c>
      <c r="AK421">
        <f t="shared" si="386"/>
        <v>13.502190658320476</v>
      </c>
      <c r="AL421">
        <f t="shared" si="387"/>
        <v>1.4966663957864759</v>
      </c>
      <c r="AM421" t="str">
        <f t="shared" si="368"/>
        <v>1-0,846423875281684i</v>
      </c>
      <c r="AN421">
        <f t="shared" si="388"/>
        <v>1.3101272368158994</v>
      </c>
      <c r="AO421">
        <f t="shared" si="389"/>
        <v>-0.70241427235949816</v>
      </c>
      <c r="AP421" s="41" t="str">
        <f t="shared" si="390"/>
        <v>0,406662992081709-0,399374525509138i</v>
      </c>
      <c r="AQ421">
        <f t="shared" si="391"/>
        <v>-4.8828397384337094</v>
      </c>
      <c r="AR421" s="43">
        <f t="shared" si="392"/>
        <v>-44.481926109295003</v>
      </c>
      <c r="AS421" t="str">
        <f t="shared" si="369"/>
        <v>-0,0000166666666666667</v>
      </c>
      <c r="AT421" t="str">
        <f t="shared" si="370"/>
        <v>0,00102469477283529i</v>
      </c>
      <c r="AU421">
        <f t="shared" si="393"/>
        <v>1.0246947728352899E-3</v>
      </c>
      <c r="AV421">
        <f t="shared" si="394"/>
        <v>1.5707963267948966</v>
      </c>
      <c r="AW421" t="str">
        <f t="shared" si="371"/>
        <v>1+3,21145496829861i</v>
      </c>
      <c r="AX421">
        <f t="shared" si="395"/>
        <v>3.3635461961165074</v>
      </c>
      <c r="AY421">
        <f t="shared" si="396"/>
        <v>1.2689272705952392</v>
      </c>
      <c r="AZ421" t="str">
        <f t="shared" si="372"/>
        <v>1+222,174293715931i</v>
      </c>
      <c r="BA421">
        <f t="shared" si="397"/>
        <v>222.1765441899139</v>
      </c>
      <c r="BB421">
        <f t="shared" si="398"/>
        <v>1.5662953864275648</v>
      </c>
      <c r="BC421" s="41" t="str">
        <f t="shared" si="399"/>
        <v>-0,314796467351002+1,02721968511464i</v>
      </c>
      <c r="BD421">
        <f t="shared" si="400"/>
        <v>0.62310078664984869</v>
      </c>
      <c r="BE421" s="43">
        <f t="shared" si="401"/>
        <v>107.03793799894956</v>
      </c>
      <c r="BF421" s="41" t="str">
        <f t="shared" si="402"/>
        <v>0,403665663681156+0,087075180685181i</v>
      </c>
      <c r="BG421" s="20">
        <f t="shared" si="403"/>
        <v>-7.6820416104503551</v>
      </c>
      <c r="BH421" s="43">
        <f t="shared" si="404"/>
        <v>12.172819584438505</v>
      </c>
      <c r="BI421" s="41" t="str">
        <f t="shared" si="357"/>
        <v>0,282229301026595+0,54345392045421i</v>
      </c>
      <c r="BJ421" s="20">
        <f t="shared" si="405"/>
        <v>-4.2597389517838558</v>
      </c>
      <c r="BK421" s="43">
        <f t="shared" si="358"/>
        <v>62.55601188965457</v>
      </c>
      <c r="BL421">
        <f t="shared" si="406"/>
        <v>-7.6820416104503551</v>
      </c>
      <c r="BM421" s="43">
        <f t="shared" si="407"/>
        <v>12.172819584438505</v>
      </c>
    </row>
    <row r="422" spans="14:65" x14ac:dyDescent="0.25">
      <c r="N422" s="9">
        <v>4</v>
      </c>
      <c r="O422" s="34">
        <f t="shared" si="408"/>
        <v>109647.81961431868</v>
      </c>
      <c r="P422" s="33" t="str">
        <f t="shared" si="360"/>
        <v>54,631621870174</v>
      </c>
      <c r="Q422" s="4" t="str">
        <f t="shared" si="361"/>
        <v>1+5491,69379246338i</v>
      </c>
      <c r="R422" s="4">
        <f t="shared" si="373"/>
        <v>5491.69388350997</v>
      </c>
      <c r="S422" s="4">
        <f t="shared" si="374"/>
        <v>1.5706142336144064</v>
      </c>
      <c r="T422" s="4" t="str">
        <f t="shared" si="362"/>
        <v>1+13,7787513832993i</v>
      </c>
      <c r="U422" s="4">
        <f t="shared" si="375"/>
        <v>13.814991483268182</v>
      </c>
      <c r="V422" s="4">
        <f t="shared" si="376"/>
        <v>1.4983478323757171</v>
      </c>
      <c r="W422" t="str">
        <f t="shared" si="363"/>
        <v>1-2,74151602936306i</v>
      </c>
      <c r="X422" s="4">
        <f t="shared" si="377"/>
        <v>2.918203238168068</v>
      </c>
      <c r="Y422" s="4">
        <f t="shared" si="378"/>
        <v>-1.2210317876848549</v>
      </c>
      <c r="Z422" t="str">
        <f t="shared" si="364"/>
        <v>0,951909422615303+0,376662128935985i</v>
      </c>
      <c r="AA422" s="4">
        <f t="shared" si="379"/>
        <v>1.0237215970362197</v>
      </c>
      <c r="AB422" s="4">
        <f t="shared" si="380"/>
        <v>0.37678633639885062</v>
      </c>
      <c r="AC422" s="47" t="str">
        <f t="shared" si="381"/>
        <v>-0,0388334436010112-0,389832343020588i</v>
      </c>
      <c r="AD422" s="20">
        <f t="shared" si="382"/>
        <v>-8.1395587221065266</v>
      </c>
      <c r="AE422" s="43">
        <f t="shared" si="383"/>
        <v>-95.688794731082695</v>
      </c>
      <c r="AF422" t="str">
        <f t="shared" si="365"/>
        <v>171,265703090588</v>
      </c>
      <c r="AG422" t="str">
        <f t="shared" si="366"/>
        <v>1+5439,13818711402i</v>
      </c>
      <c r="AH422">
        <f t="shared" si="384"/>
        <v>5439.1382790403468</v>
      </c>
      <c r="AI422">
        <f t="shared" si="385"/>
        <v>1.5706124741413454</v>
      </c>
      <c r="AJ422" t="str">
        <f t="shared" si="367"/>
        <v>1+13,7787513832993i</v>
      </c>
      <c r="AK422">
        <f t="shared" si="386"/>
        <v>13.814991483268182</v>
      </c>
      <c r="AL422">
        <f t="shared" si="387"/>
        <v>1.4983478323757171</v>
      </c>
      <c r="AM422" t="str">
        <f t="shared" si="368"/>
        <v>1-0,866139620074867i</v>
      </c>
      <c r="AN422">
        <f t="shared" si="388"/>
        <v>1.3229504304634527</v>
      </c>
      <c r="AO422">
        <f t="shared" si="389"/>
        <v>-0.713789641707538</v>
      </c>
      <c r="AP422" s="41" t="str">
        <f t="shared" si="390"/>
        <v>0,406662719898193-0,407196709485251i</v>
      </c>
      <c r="AQ422">
        <f t="shared" si="391"/>
        <v>-4.7993100952658176</v>
      </c>
      <c r="AR422" s="43">
        <f t="shared" si="392"/>
        <v>-45.037592911192498</v>
      </c>
      <c r="AS422" t="str">
        <f t="shared" si="369"/>
        <v>-0,0000166666666666667</v>
      </c>
      <c r="AT422" t="str">
        <f t="shared" si="370"/>
        <v>0,00104856298026908i</v>
      </c>
      <c r="AU422">
        <f t="shared" si="393"/>
        <v>1.0485629802690799E-3</v>
      </c>
      <c r="AV422">
        <f t="shared" si="394"/>
        <v>1.5707963267948966</v>
      </c>
      <c r="AW422" t="str">
        <f t="shared" si="371"/>
        <v>1+3,28625936408518i</v>
      </c>
      <c r="AX422">
        <f t="shared" si="395"/>
        <v>3.4350401173840073</v>
      </c>
      <c r="AY422">
        <f t="shared" si="396"/>
        <v>1.2754016917023407</v>
      </c>
      <c r="AZ422" t="str">
        <f t="shared" si="372"/>
        <v>1+227,349397824438i</v>
      </c>
      <c r="BA422">
        <f t="shared" si="397"/>
        <v>227.35159707188024</v>
      </c>
      <c r="BB422">
        <f t="shared" si="398"/>
        <v>1.5663978390018232</v>
      </c>
      <c r="BC422" s="41" t="str">
        <f t="shared" si="399"/>
        <v>-0,301829036033296+1,00778326531605i</v>
      </c>
      <c r="BD422">
        <f t="shared" si="400"/>
        <v>0.44040849322076198</v>
      </c>
      <c r="BE422" s="43">
        <f t="shared" si="401"/>
        <v>106.67285109482755</v>
      </c>
      <c r="BF422" s="41" t="str">
        <f t="shared" si="402"/>
        <v>0,404587572423041+0,0785270257128115i</v>
      </c>
      <c r="BG422" s="20">
        <f t="shared" si="403"/>
        <v>-7.6991502288857685</v>
      </c>
      <c r="BH422" s="43">
        <f t="shared" si="404"/>
        <v>10.984056363744841</v>
      </c>
      <c r="BI422" s="41" t="str">
        <f t="shared" si="357"/>
        <v>0,287623412773447+0,53273167404117i</v>
      </c>
      <c r="BJ422" s="20">
        <f t="shared" si="405"/>
        <v>-4.3589016020450639</v>
      </c>
      <c r="BK422" s="43">
        <f t="shared" si="358"/>
        <v>61.635258183635045</v>
      </c>
      <c r="BL422">
        <f t="shared" si="406"/>
        <v>-7.6991502288857685</v>
      </c>
      <c r="BM422" s="43">
        <f t="shared" si="407"/>
        <v>10.984056363744841</v>
      </c>
    </row>
    <row r="423" spans="14:65" x14ac:dyDescent="0.25">
      <c r="N423" s="9">
        <v>5</v>
      </c>
      <c r="O423" s="34">
        <f t="shared" si="408"/>
        <v>112201.84543019651</v>
      </c>
      <c r="P423" s="33" t="str">
        <f t="shared" si="360"/>
        <v>54,631621870174</v>
      </c>
      <c r="Q423" s="4" t="str">
        <f t="shared" si="361"/>
        <v>1+5619,6117735795i</v>
      </c>
      <c r="R423" s="4">
        <f t="shared" si="373"/>
        <v>5619.6118625536164</v>
      </c>
      <c r="S423" s="4">
        <f t="shared" si="374"/>
        <v>1.5706183785611509</v>
      </c>
      <c r="T423" s="4" t="str">
        <f t="shared" si="362"/>
        <v>1+14,0996997329089i</v>
      </c>
      <c r="U423" s="4">
        <f t="shared" si="375"/>
        <v>14.135116998390615</v>
      </c>
      <c r="V423" s="4">
        <f t="shared" si="376"/>
        <v>1.4999913914300649</v>
      </c>
      <c r="W423" t="str">
        <f t="shared" si="363"/>
        <v>1-2,80537414107258i</v>
      </c>
      <c r="X423" s="4">
        <f t="shared" si="377"/>
        <v>2.9782753518435321</v>
      </c>
      <c r="Y423" s="4">
        <f t="shared" si="378"/>
        <v>-1.2283792877324418</v>
      </c>
      <c r="Z423" t="str">
        <f t="shared" si="364"/>
        <v>0,949642983528233+0,385435716997744i</v>
      </c>
      <c r="AA423" s="4">
        <f t="shared" si="379"/>
        <v>1.0248816946857666</v>
      </c>
      <c r="AB423" s="4">
        <f t="shared" si="380"/>
        <v>0.38556018107318463</v>
      </c>
      <c r="AC423" s="47" t="str">
        <f t="shared" si="381"/>
        <v>-0,0453334995659753-0,396745062914511i</v>
      </c>
      <c r="AD423" s="20">
        <f t="shared" si="382"/>
        <v>-7.9734341653962044</v>
      </c>
      <c r="AE423" s="43">
        <f t="shared" si="383"/>
        <v>-96.518548234484371</v>
      </c>
      <c r="AF423" t="str">
        <f t="shared" si="365"/>
        <v>171,265703090588</v>
      </c>
      <c r="AG423" t="str">
        <f t="shared" si="366"/>
        <v>1+5565,83199092042i</v>
      </c>
      <c r="AH423">
        <f t="shared" si="384"/>
        <v>5565.8320807542486</v>
      </c>
      <c r="AI423">
        <f t="shared" si="385"/>
        <v>1.5706166591385837</v>
      </c>
      <c r="AJ423" t="str">
        <f t="shared" si="367"/>
        <v>1+14,0996997329089i</v>
      </c>
      <c r="AK423">
        <f t="shared" si="386"/>
        <v>14.135116998390615</v>
      </c>
      <c r="AL423">
        <f t="shared" si="387"/>
        <v>1.4999913914300649</v>
      </c>
      <c r="AM423" t="str">
        <f t="shared" si="368"/>
        <v>1-0,886314603559326i</v>
      </c>
      <c r="AN423">
        <f t="shared" si="388"/>
        <v>1.3362460763207222</v>
      </c>
      <c r="AO423">
        <f t="shared" si="389"/>
        <v>-0.72520245206898526</v>
      </c>
      <c r="AP423" s="41" t="str">
        <f t="shared" si="390"/>
        <v>0,406662459964952-0,41523479454211i</v>
      </c>
      <c r="AQ423">
        <f t="shared" si="391"/>
        <v>-4.7134769470825564</v>
      </c>
      <c r="AR423" s="43">
        <f t="shared" si="392"/>
        <v>-45.597569562770822</v>
      </c>
      <c r="AS423" t="str">
        <f t="shared" si="369"/>
        <v>-0,0000166666666666667</v>
      </c>
      <c r="AT423" t="str">
        <f t="shared" si="370"/>
        <v>0,00107298714967437i</v>
      </c>
      <c r="AU423">
        <f t="shared" si="393"/>
        <v>1.07298714967437E-3</v>
      </c>
      <c r="AV423">
        <f t="shared" si="394"/>
        <v>1.5707963267948966</v>
      </c>
      <c r="AW423" t="str">
        <f t="shared" si="371"/>
        <v>1+3,36280617808537i</v>
      </c>
      <c r="AX423">
        <f t="shared" si="395"/>
        <v>3.5083422568741969</v>
      </c>
      <c r="AY423">
        <f t="shared" si="396"/>
        <v>1.2817534837579228</v>
      </c>
      <c r="AZ423" t="str">
        <f t="shared" si="372"/>
        <v>1+232,645045592997i</v>
      </c>
      <c r="BA423">
        <f t="shared" si="397"/>
        <v>232.64719477992347</v>
      </c>
      <c r="BB423">
        <f t="shared" si="398"/>
        <v>1.5664979595599964</v>
      </c>
      <c r="BC423" s="41" t="str">
        <f t="shared" si="399"/>
        <v>-0,289348166563121+0,988554762313455i</v>
      </c>
      <c r="BD423">
        <f t="shared" si="400"/>
        <v>0.25700189299115689</v>
      </c>
      <c r="BE423" s="43">
        <f t="shared" si="401"/>
        <v>106.31465670312386</v>
      </c>
      <c r="BF423" s="41" t="str">
        <f t="shared" si="402"/>
        <v>0,405321386351796+0,069982809659004i</v>
      </c>
      <c r="BG423" s="20">
        <f t="shared" si="403"/>
        <v>-7.7164322724050525</v>
      </c>
      <c r="BH423" s="43">
        <f t="shared" si="404"/>
        <v>9.7961084686394742</v>
      </c>
      <c r="BI423" s="41" t="str">
        <f t="shared" si="357"/>
        <v>0,292815296421944+0,522155537946432i</v>
      </c>
      <c r="BJ423" s="20">
        <f t="shared" si="405"/>
        <v>-4.4564750540913973</v>
      </c>
      <c r="BK423" s="43">
        <f t="shared" si="358"/>
        <v>60.71708714035308</v>
      </c>
      <c r="BL423">
        <f t="shared" si="406"/>
        <v>-7.7164322724050525</v>
      </c>
      <c r="BM423" s="43">
        <f t="shared" si="407"/>
        <v>9.7961084686394742</v>
      </c>
    </row>
    <row r="424" spans="14:65" x14ac:dyDescent="0.25">
      <c r="N424" s="9">
        <v>6</v>
      </c>
      <c r="O424" s="34">
        <f t="shared" si="408"/>
        <v>114815.36214968823</v>
      </c>
      <c r="P424" s="33" t="str">
        <f t="shared" si="360"/>
        <v>54,631621870174</v>
      </c>
      <c r="Q424" s="4" t="str">
        <f t="shared" si="361"/>
        <v>1+5750,50934724231i</v>
      </c>
      <c r="R424" s="4">
        <f t="shared" si="373"/>
        <v>5750.5094341911281</v>
      </c>
      <c r="S424" s="4">
        <f t="shared" si="374"/>
        <v>1.5706224291573945</v>
      </c>
      <c r="T424" s="4" t="str">
        <f t="shared" si="362"/>
        <v>1+14,4281239299485i</v>
      </c>
      <c r="U424" s="4">
        <f t="shared" si="375"/>
        <v>14.462736951834273</v>
      </c>
      <c r="V424" s="4">
        <f t="shared" si="376"/>
        <v>1.5015979088485709</v>
      </c>
      <c r="W424" t="str">
        <f t="shared" si="363"/>
        <v>1-2,8707196992852i</v>
      </c>
      <c r="X424" s="4">
        <f t="shared" si="377"/>
        <v>3.0399065103822043</v>
      </c>
      <c r="Y424" s="4">
        <f t="shared" si="378"/>
        <v>-1.2355969202802772</v>
      </c>
      <c r="Z424" t="str">
        <f t="shared" si="364"/>
        <v>0,947269730457744+0,394413668178498i</v>
      </c>
      <c r="AA424" s="4">
        <f t="shared" si="379"/>
        <v>1.0261004258295117</v>
      </c>
      <c r="AB424" s="4">
        <f t="shared" si="380"/>
        <v>0.39453738578730396</v>
      </c>
      <c r="AC424" s="47" t="str">
        <f t="shared" si="381"/>
        <v>-0,0521078902939624-0,40371123098596i</v>
      </c>
      <c r="AD424" s="20">
        <f t="shared" si="382"/>
        <v>-7.8068275909073579</v>
      </c>
      <c r="AE424" s="43">
        <f t="shared" si="383"/>
        <v>-97.354629473770174</v>
      </c>
      <c r="AF424" t="str">
        <f t="shared" si="365"/>
        <v>171,265703090588</v>
      </c>
      <c r="AG424" t="str">
        <f t="shared" si="366"/>
        <v>1+5695,47687252089i</v>
      </c>
      <c r="AH424">
        <f t="shared" si="384"/>
        <v>5695.4769603098503</v>
      </c>
      <c r="AI424">
        <f t="shared" si="385"/>
        <v>1.5706207488736608</v>
      </c>
      <c r="AJ424" t="str">
        <f t="shared" si="367"/>
        <v>1+14,4281239299485i</v>
      </c>
      <c r="AK424">
        <f t="shared" si="386"/>
        <v>14.462736951834273</v>
      </c>
      <c r="AL424">
        <f t="shared" si="387"/>
        <v>1.5015979088485709</v>
      </c>
      <c r="AM424" t="str">
        <f t="shared" si="368"/>
        <v>1-0,90695952277835i</v>
      </c>
      <c r="AN424">
        <f t="shared" si="388"/>
        <v>1.3500279908054991</v>
      </c>
      <c r="AO424">
        <f t="shared" si="389"/>
        <v>-0.7366468632282539</v>
      </c>
      <c r="AP424" s="41" t="str">
        <f t="shared" si="390"/>
        <v>0,406662211730632-0,423493042579114i</v>
      </c>
      <c r="AQ424">
        <f t="shared" si="391"/>
        <v>-4.6253287442956879</v>
      </c>
      <c r="AR424" s="43">
        <f t="shared" si="392"/>
        <v>-46.16147367797403</v>
      </c>
      <c r="AS424" t="str">
        <f t="shared" si="369"/>
        <v>-0,0000166666666666667</v>
      </c>
      <c r="AT424" t="str">
        <f t="shared" si="370"/>
        <v>0,00109798023106908i</v>
      </c>
      <c r="AU424">
        <f t="shared" si="393"/>
        <v>1.09798023106908E-3</v>
      </c>
      <c r="AV424">
        <f t="shared" si="394"/>
        <v>1.5707963267948966</v>
      </c>
      <c r="AW424" t="str">
        <f t="shared" si="371"/>
        <v>1+3,44113599643318i</v>
      </c>
      <c r="AX424">
        <f t="shared" si="395"/>
        <v>3.5834922835061573</v>
      </c>
      <c r="AY424">
        <f t="shared" si="396"/>
        <v>1.2879839636845356</v>
      </c>
      <c r="AZ424" t="str">
        <f t="shared" si="372"/>
        <v>1+238,06404484415i</v>
      </c>
      <c r="BA424">
        <f t="shared" si="397"/>
        <v>238.06614511004597</v>
      </c>
      <c r="BB424">
        <f t="shared" si="398"/>
        <v>1.5665958011792964</v>
      </c>
      <c r="BC424" s="41" t="str">
        <f t="shared" si="399"/>
        <v>-0,277339479684289+0,969542253610557i</v>
      </c>
      <c r="BD424">
        <f t="shared" si="400"/>
        <v>7.2907897724242957E-2</v>
      </c>
      <c r="BE424" s="43">
        <f t="shared" si="401"/>
        <v>105.96328241083451</v>
      </c>
      <c r="BF424" s="41" t="str">
        <f t="shared" si="402"/>
        <v>0,405866671879593+0,06144426135785i</v>
      </c>
      <c r="BG424" s="20">
        <f t="shared" si="403"/>
        <v>-7.7339196931831236</v>
      </c>
      <c r="BH424" s="43">
        <f t="shared" si="404"/>
        <v>8.6086529370643383</v>
      </c>
      <c r="BI424" s="41" t="str">
        <f t="shared" si="357"/>
        <v>0,29781091268191+0,511727537298378i</v>
      </c>
      <c r="BJ424" s="20">
        <f t="shared" si="405"/>
        <v>-4.55242084657145</v>
      </c>
      <c r="BK424" s="43">
        <f t="shared" si="358"/>
        <v>59.801808732860493</v>
      </c>
      <c r="BL424">
        <f t="shared" si="406"/>
        <v>-7.7339196931831236</v>
      </c>
      <c r="BM424" s="43">
        <f t="shared" si="407"/>
        <v>8.6086529370643383</v>
      </c>
    </row>
    <row r="425" spans="14:65" x14ac:dyDescent="0.25">
      <c r="N425" s="9">
        <v>7</v>
      </c>
      <c r="O425" s="34">
        <f t="shared" si="408"/>
        <v>117489.75549395311</v>
      </c>
      <c r="P425" s="33" t="str">
        <f t="shared" si="360"/>
        <v>54,631621870174</v>
      </c>
      <c r="Q425" s="4" t="str">
        <f t="shared" si="361"/>
        <v>1+5884,45591707804i</v>
      </c>
      <c r="R425" s="4">
        <f t="shared" si="373"/>
        <v>5884.456002047662</v>
      </c>
      <c r="S425" s="4">
        <f t="shared" si="374"/>
        <v>1.570626387550816</v>
      </c>
      <c r="T425" s="4" t="str">
        <f t="shared" si="362"/>
        <v>1+14,7641981092746i</v>
      </c>
      <c r="U425" s="4">
        <f t="shared" si="375"/>
        <v>14.798025064511403</v>
      </c>
      <c r="V425" s="4">
        <f t="shared" si="376"/>
        <v>1.5031682032393439</v>
      </c>
      <c r="W425" t="str">
        <f t="shared" si="363"/>
        <v>1-2,93758735108086i</v>
      </c>
      <c r="X425" s="4">
        <f t="shared" si="377"/>
        <v>3.1031305878467736</v>
      </c>
      <c r="Y425" s="4">
        <f t="shared" si="378"/>
        <v>-1.2426855032931043</v>
      </c>
      <c r="Z425" t="str">
        <f t="shared" si="364"/>
        <v>0,944784629415884+0,403600742706804i</v>
      </c>
      <c r="AA425" s="4">
        <f t="shared" si="379"/>
        <v>1.0273809203474595</v>
      </c>
      <c r="AB425" s="4">
        <f t="shared" si="380"/>
        <v>0.40372251984527968</v>
      </c>
      <c r="AC425" s="47" t="str">
        <f t="shared" si="381"/>
        <v>-0,0591664750529872-0,410723977347513i</v>
      </c>
      <c r="AD425" s="20">
        <f t="shared" si="382"/>
        <v>-7.6397982305033718</v>
      </c>
      <c r="AE425" s="43">
        <f t="shared" si="383"/>
        <v>-98.197300336969619</v>
      </c>
      <c r="AF425" t="str">
        <f t="shared" si="365"/>
        <v>171,265703090588</v>
      </c>
      <c r="AG425" t="str">
        <f t="shared" si="366"/>
        <v>1+5828,14157134774i</v>
      </c>
      <c r="AH425">
        <f t="shared" si="384"/>
        <v>5828.1416571383807</v>
      </c>
      <c r="AI425">
        <f t="shared" si="385"/>
        <v>1.5706247455150075</v>
      </c>
      <c r="AJ425" t="str">
        <f t="shared" si="367"/>
        <v>1+14,7641981092746i</v>
      </c>
      <c r="AK425">
        <f t="shared" si="386"/>
        <v>14.798025064511403</v>
      </c>
      <c r="AL425">
        <f t="shared" si="387"/>
        <v>1.5031682032393439</v>
      </c>
      <c r="AM425" t="str">
        <f t="shared" si="368"/>
        <v>1-0,928085323941385i</v>
      </c>
      <c r="AN425">
        <f t="shared" si="388"/>
        <v>1.3643102171117041</v>
      </c>
      <c r="AO425">
        <f t="shared" si="389"/>
        <v>-0.74811695271624878</v>
      </c>
      <c r="AP425" s="41" t="str">
        <f t="shared" si="390"/>
        <v>0,406661974668698-0,431975832228964i</v>
      </c>
      <c r="AQ425">
        <f t="shared" si="391"/>
        <v>-4.5348561436685246</v>
      </c>
      <c r="AR425" s="43">
        <f t="shared" si="392"/>
        <v>-46.728919145770462</v>
      </c>
      <c r="AS425" t="str">
        <f t="shared" si="369"/>
        <v>-0,0000166666666666667</v>
      </c>
      <c r="AT425" t="str">
        <f t="shared" si="370"/>
        <v>0,00112355547611579i</v>
      </c>
      <c r="AU425">
        <f t="shared" si="393"/>
        <v>1.1235554761157901E-3</v>
      </c>
      <c r="AV425">
        <f t="shared" si="394"/>
        <v>1.5707963267948966</v>
      </c>
      <c r="AW425" t="str">
        <f t="shared" si="371"/>
        <v>1+3,52129035063513i</v>
      </c>
      <c r="AX425">
        <f t="shared" si="395"/>
        <v>3.6605307994164007</v>
      </c>
      <c r="AY425">
        <f t="shared" si="396"/>
        <v>1.2940944993473074</v>
      </c>
      <c r="AZ425" t="str">
        <f t="shared" si="372"/>
        <v>1+243,60926880303i</v>
      </c>
      <c r="BA425">
        <f t="shared" si="397"/>
        <v>243.61132126144494</v>
      </c>
      <c r="BB425">
        <f t="shared" si="398"/>
        <v>1.5666914157291469</v>
      </c>
      <c r="BC425" s="41" t="str">
        <f t="shared" si="399"/>
        <v>-0,265788700032027+0,950753046538935i</v>
      </c>
      <c r="BD425">
        <f t="shared" si="400"/>
        <v>-0.11184738518423122</v>
      </c>
      <c r="BE425" s="43">
        <f t="shared" si="401"/>
        <v>105.61865281696005</v>
      </c>
      <c r="BF425" s="41" t="str">
        <f t="shared" si="402"/>
        <v>0,406222853239547+0,0529130856015817i</v>
      </c>
      <c r="BG425" s="20">
        <f t="shared" si="403"/>
        <v>-7.751645615687611</v>
      </c>
      <c r="BH425" s="43">
        <f t="shared" si="404"/>
        <v>7.4213524799904507</v>
      </c>
      <c r="BI425" s="41" t="str">
        <f t="shared" si="357"/>
        <v>0,302616180923229+0,501449406221193i</v>
      </c>
      <c r="BJ425" s="20">
        <f t="shared" si="405"/>
        <v>-4.6467035288527594</v>
      </c>
      <c r="BK425" s="43">
        <f t="shared" si="358"/>
        <v>58.889733671189596</v>
      </c>
      <c r="BL425">
        <f t="shared" si="406"/>
        <v>-7.751645615687611</v>
      </c>
      <c r="BM425" s="43">
        <f t="shared" si="407"/>
        <v>7.4213524799904507</v>
      </c>
    </row>
    <row r="426" spans="14:65" x14ac:dyDescent="0.25">
      <c r="N426" s="9">
        <v>8</v>
      </c>
      <c r="O426" s="34">
        <f t="shared" si="408"/>
        <v>120226.44346174144</v>
      </c>
      <c r="P426" s="33" t="str">
        <f t="shared" si="360"/>
        <v>54,631621870174</v>
      </c>
      <c r="Q426" s="4" t="str">
        <f t="shared" si="361"/>
        <v>1+6021,52250333097i</v>
      </c>
      <c r="R426" s="4">
        <f t="shared" si="373"/>
        <v>6021.5225863664473</v>
      </c>
      <c r="S426" s="4">
        <f t="shared" si="374"/>
        <v>1.5706302558402081</v>
      </c>
      <c r="T426" s="4" t="str">
        <f t="shared" si="362"/>
        <v>1+15,1081004618654i</v>
      </c>
      <c r="U426" s="4">
        <f t="shared" si="375"/>
        <v>15.141159122267275</v>
      </c>
      <c r="V426" s="4">
        <f t="shared" si="376"/>
        <v>1.5047030761992781</v>
      </c>
      <c r="W426" t="str">
        <f t="shared" si="363"/>
        <v>1-3,00601255057363i</v>
      </c>
      <c r="X426" s="4">
        <f t="shared" si="377"/>
        <v>3.1679822370408233</v>
      </c>
      <c r="Y426" s="4">
        <f t="shared" si="378"/>
        <v>-1.2496459448133257</v>
      </c>
      <c r="Z426" t="str">
        <f t="shared" si="364"/>
        <v>0,942182409170163+0,413001811691181i</v>
      </c>
      <c r="AA426" s="4">
        <f t="shared" si="379"/>
        <v>1.0287264887276355</v>
      </c>
      <c r="AB426" s="4">
        <f t="shared" si="380"/>
        <v>0.41312023618381766</v>
      </c>
      <c r="AC426" s="47" t="str">
        <f t="shared" si="381"/>
        <v>-0,0665192864982658-0,417775786828415i</v>
      </c>
      <c r="AD426" s="20">
        <f t="shared" si="382"/>
        <v>-7.472405743320893</v>
      </c>
      <c r="AE426" s="43">
        <f t="shared" si="383"/>
        <v>-99.046833636848334</v>
      </c>
      <c r="AF426" t="str">
        <f t="shared" si="365"/>
        <v>171,265703090588</v>
      </c>
      <c r="AG426" t="str">
        <f t="shared" si="366"/>
        <v>1+5963,89642798029i</v>
      </c>
      <c r="AH426">
        <f t="shared" si="384"/>
        <v>5963.8965118180968</v>
      </c>
      <c r="AI426">
        <f t="shared" si="385"/>
        <v>1.5706286511816958</v>
      </c>
      <c r="AJ426" t="str">
        <f t="shared" si="367"/>
        <v>1+15,1081004618654i</v>
      </c>
      <c r="AK426">
        <f t="shared" si="386"/>
        <v>15.141159122267275</v>
      </c>
      <c r="AL426">
        <f t="shared" si="387"/>
        <v>1.5047030761992781</v>
      </c>
      <c r="AM426" t="str">
        <f t="shared" si="368"/>
        <v>1-0,949703208227832i</v>
      </c>
      <c r="AN426">
        <f t="shared" si="388"/>
        <v>1.3791070240261403</v>
      </c>
      <c r="AO426">
        <f t="shared" si="389"/>
        <v>-0.75960673082263963</v>
      </c>
      <c r="AP426" s="41" t="str">
        <f t="shared" si="390"/>
        <v>0,406661748276304-0,440687661179273i</v>
      </c>
      <c r="AQ426">
        <f t="shared" si="391"/>
        <v>-4.4420520597841495</v>
      </c>
      <c r="AR426" s="43">
        <f t="shared" si="392"/>
        <v>-47.299516974333024</v>
      </c>
      <c r="AS426" t="str">
        <f t="shared" si="369"/>
        <v>-0,0000166666666666667</v>
      </c>
      <c r="AT426" t="str">
        <f t="shared" si="370"/>
        <v>0,00114972644514796i</v>
      </c>
      <c r="AU426">
        <f t="shared" si="393"/>
        <v>1.1497264451479599E-3</v>
      </c>
      <c r="AV426">
        <f t="shared" si="394"/>
        <v>1.5707963267948966</v>
      </c>
      <c r="AW426" t="str">
        <f t="shared" si="371"/>
        <v>1+3,60331173959077i</v>
      </c>
      <c r="AX426">
        <f t="shared" si="395"/>
        <v>3.7394993639085787</v>
      </c>
      <c r="AY426">
        <f t="shared" si="396"/>
        <v>1.3000865046524912</v>
      </c>
      <c r="AZ426" t="str">
        <f t="shared" si="372"/>
        <v>1+249,283657620779i</v>
      </c>
      <c r="BA426">
        <f t="shared" si="397"/>
        <v>249.28566335991684</v>
      </c>
      <c r="BB426">
        <f t="shared" si="398"/>
        <v>1.5667848538986513</v>
      </c>
      <c r="BC426" s="41" t="str">
        <f t="shared" si="399"/>
        <v>-0,254681686038904+0,932193711052347i</v>
      </c>
      <c r="BD426">
        <f t="shared" si="400"/>
        <v>-0.29723864603418304</v>
      </c>
      <c r="BE426" s="43">
        <f t="shared" si="401"/>
        <v>105.28068981491097</v>
      </c>
      <c r="BF426" s="41" t="str">
        <f t="shared" si="402"/>
        <v>0,406389205150878+0,0443909812383178i</v>
      </c>
      <c r="BG426" s="20">
        <f t="shared" si="403"/>
        <v>-7.7696443893550695</v>
      </c>
      <c r="BH426" s="43">
        <f t="shared" si="404"/>
        <v>6.2338561780626351</v>
      </c>
      <c r="BI426" s="41" t="str">
        <f t="shared" si="357"/>
        <v>0,307236966591148+0,491322600834402i</v>
      </c>
      <c r="BJ426" s="20">
        <f t="shared" si="405"/>
        <v>-4.7392907058183322</v>
      </c>
      <c r="BK426" s="43">
        <f t="shared" si="358"/>
        <v>57.981172840578004</v>
      </c>
      <c r="BL426">
        <f t="shared" si="406"/>
        <v>-7.7696443893550695</v>
      </c>
      <c r="BM426" s="43">
        <f t="shared" si="407"/>
        <v>6.2338561780626351</v>
      </c>
    </row>
    <row r="427" spans="14:65" x14ac:dyDescent="0.25">
      <c r="N427" s="9">
        <v>9</v>
      </c>
      <c r="O427" s="34">
        <f t="shared" si="408"/>
        <v>123026.87708123829</v>
      </c>
      <c r="P427" s="33" t="str">
        <f t="shared" si="360"/>
        <v>54,631621870174</v>
      </c>
      <c r="Q427" s="4" t="str">
        <f t="shared" si="361"/>
        <v>1+6161,78178051945i</v>
      </c>
      <c r="R427" s="4">
        <f t="shared" si="373"/>
        <v>6161.7818616648101</v>
      </c>
      <c r="S427" s="4">
        <f t="shared" si="374"/>
        <v>1.5706340360765882</v>
      </c>
      <c r="T427" s="4" t="str">
        <f t="shared" si="362"/>
        <v>1+15,4600133293005i</v>
      </c>
      <c r="U427" s="4">
        <f t="shared" si="375"/>
        <v>15.492321070199555</v>
      </c>
      <c r="V427" s="4">
        <f t="shared" si="376"/>
        <v>1.5062033125947969</v>
      </c>
      <c r="W427" t="str">
        <f t="shared" si="363"/>
        <v>1-3,07603157770999i</v>
      </c>
      <c r="X427" s="4">
        <f t="shared" si="377"/>
        <v>3.2344969109691553</v>
      </c>
      <c r="Y427" s="4">
        <f t="shared" si="378"/>
        <v>-1.2564792367216091</v>
      </c>
      <c r="Z427" t="str">
        <f t="shared" si="364"/>
        <v>0,939457550062551+0,422621859702841i</v>
      </c>
      <c r="AA427" s="4">
        <f t="shared" si="379"/>
        <v>1.0301406334419676</v>
      </c>
      <c r="AB427" s="4">
        <f t="shared" si="380"/>
        <v>0.42273527051280196</v>
      </c>
      <c r="AC427" s="47" t="str">
        <f t="shared" si="381"/>
        <v>-0,0741765119332985-0,424858458230012i</v>
      </c>
      <c r="AD427" s="20">
        <f t="shared" si="382"/>
        <v>-7.3047102815471714</v>
      </c>
      <c r="AE427" s="43">
        <f t="shared" si="383"/>
        <v>-99.903512688153043</v>
      </c>
      <c r="AF427" t="str">
        <f t="shared" si="365"/>
        <v>171,265703090588</v>
      </c>
      <c r="AG427" t="str">
        <f t="shared" si="366"/>
        <v>1+6102,81342144045i</v>
      </c>
      <c r="AH427">
        <f t="shared" si="384"/>
        <v>6102.8135033698763</v>
      </c>
      <c r="AI427">
        <f t="shared" si="385"/>
        <v>1.5706324679445609</v>
      </c>
      <c r="AJ427" t="str">
        <f t="shared" si="367"/>
        <v>1+15,4600133293005i</v>
      </c>
      <c r="AK427">
        <f t="shared" si="386"/>
        <v>15.492321070199555</v>
      </c>
      <c r="AL427">
        <f t="shared" si="387"/>
        <v>1.5062033125947969</v>
      </c>
      <c r="AM427" t="str">
        <f t="shared" si="368"/>
        <v>1-0,97182463772609i</v>
      </c>
      <c r="AN427">
        <f t="shared" si="388"/>
        <v>1.3944329049801736</v>
      </c>
      <c r="AO427">
        <f t="shared" si="389"/>
        <v>-0.77111015603507571</v>
      </c>
      <c r="AP427" s="41" t="str">
        <f t="shared" si="390"/>
        <v>0,406661532073249-0,449633148557313i</v>
      </c>
      <c r="AQ427">
        <f t="shared" si="391"/>
        <v>-4.3469117068279175</v>
      </c>
      <c r="AR427" s="43">
        <f t="shared" si="392"/>
        <v>-47.872876159618365</v>
      </c>
      <c r="AS427" t="str">
        <f t="shared" si="369"/>
        <v>-0,0000166666666666667</v>
      </c>
      <c r="AT427" t="str">
        <f t="shared" si="370"/>
        <v>0,00117650701435977i</v>
      </c>
      <c r="AU427">
        <f t="shared" si="393"/>
        <v>1.1765070143597699E-3</v>
      </c>
      <c r="AV427">
        <f t="shared" si="394"/>
        <v>1.5707963267948966</v>
      </c>
      <c r="AW427" t="str">
        <f t="shared" si="371"/>
        <v>1+3,6872436521262i</v>
      </c>
      <c r="AX427">
        <f t="shared" si="395"/>
        <v>3.8204405178126986</v>
      </c>
      <c r="AY427">
        <f t="shared" si="396"/>
        <v>1.3059614348592539</v>
      </c>
      <c r="AZ427" t="str">
        <f t="shared" si="372"/>
        <v>1+255,090219933458i</v>
      </c>
      <c r="BA427">
        <f t="shared" si="397"/>
        <v>255.09218001675393</v>
      </c>
      <c r="BB427">
        <f t="shared" si="398"/>
        <v>1.5668761652234338</v>
      </c>
      <c r="BC427" s="41" t="str">
        <f t="shared" si="399"/>
        <v>-0,244004456851665+0,913870112665807i</v>
      </c>
      <c r="BD427">
        <f t="shared" si="400"/>
        <v>-0.48324136455335948</v>
      </c>
      <c r="BE427" s="43">
        <f t="shared" si="401"/>
        <v>104.94931286266127</v>
      </c>
      <c r="BF427" s="41" t="str">
        <f t="shared" si="402"/>
        <v>0,406364846595118+0,0358796600216098i</v>
      </c>
      <c r="BG427" s="20">
        <f t="shared" si="403"/>
        <v>-7.7879516461005229</v>
      </c>
      <c r="BH427" s="43">
        <f t="shared" si="404"/>
        <v>5.0458001745082273</v>
      </c>
      <c r="BI427" s="41" t="str">
        <f t="shared" si="357"/>
        <v>0,311679069874354+0,481348312328861i</v>
      </c>
      <c r="BJ427" s="20">
        <f t="shared" si="405"/>
        <v>-4.8301530713812753</v>
      </c>
      <c r="BK427" s="43">
        <f t="shared" si="358"/>
        <v>57.07643670304293</v>
      </c>
      <c r="BL427">
        <f t="shared" si="406"/>
        <v>-7.7879516461005229</v>
      </c>
      <c r="BM427" s="43">
        <f t="shared" si="407"/>
        <v>5.0458001745082273</v>
      </c>
    </row>
    <row r="428" spans="14:65" x14ac:dyDescent="0.25">
      <c r="N428" s="9">
        <v>10</v>
      </c>
      <c r="O428" s="34">
        <f t="shared" si="408"/>
        <v>125892.54117941685</v>
      </c>
      <c r="P428" s="33" t="str">
        <f t="shared" si="360"/>
        <v>54,631621870174</v>
      </c>
      <c r="Q428" s="4" t="str">
        <f t="shared" si="361"/>
        <v>1+6305,30811596878i</v>
      </c>
      <c r="R428" s="4">
        <f t="shared" si="373"/>
        <v>6305.3081952670454</v>
      </c>
      <c r="S428" s="4">
        <f t="shared" si="374"/>
        <v>1.5706377302642873</v>
      </c>
      <c r="T428" s="4" t="str">
        <f t="shared" si="362"/>
        <v>1+15,8201233004403i</v>
      </c>
      <c r="U428" s="4">
        <f t="shared" si="375"/>
        <v>15.851697109178376</v>
      </c>
      <c r="V428" s="4">
        <f t="shared" si="376"/>
        <v>1.5076696808431127</v>
      </c>
      <c r="W428" t="str">
        <f t="shared" si="363"/>
        <v>1-3,14768155750495i</v>
      </c>
      <c r="X428" s="4">
        <f t="shared" si="377"/>
        <v>3.3027108846305016</v>
      </c>
      <c r="Y428" s="4">
        <f t="shared" si="378"/>
        <v>-1.2631864486664559</v>
      </c>
      <c r="Z428" t="str">
        <f t="shared" si="364"/>
        <v>0,936604272301555+0,432465987418577i</v>
      </c>
      <c r="AA428" s="4">
        <f t="shared" si="379"/>
        <v>1.0316270610872176</v>
      </c>
      <c r="AB428" s="4">
        <f t="shared" si="380"/>
        <v>0.43257244011604185</v>
      </c>
      <c r="AC428" s="47" t="str">
        <f t="shared" si="381"/>
        <v>-0,0821484713495195-0,431963062037863i</v>
      </c>
      <c r="AD428" s="20">
        <f t="shared" si="382"/>
        <v>-7.1367725625440412</v>
      </c>
      <c r="AE428" s="43">
        <f t="shared" si="383"/>
        <v>-100.76763087503592</v>
      </c>
      <c r="AF428" t="str">
        <f t="shared" si="365"/>
        <v>171,265703090588</v>
      </c>
      <c r="AG428" t="str">
        <f t="shared" si="366"/>
        <v>1+6244,96620735694i</v>
      </c>
      <c r="AH428">
        <f t="shared" si="384"/>
        <v>6244.9662874214237</v>
      </c>
      <c r="AI428">
        <f t="shared" si="385"/>
        <v>1.5706361978273011</v>
      </c>
      <c r="AJ428" t="str">
        <f t="shared" si="367"/>
        <v>1+15,8201233004403i</v>
      </c>
      <c r="AK428">
        <f t="shared" si="386"/>
        <v>15.851697109178376</v>
      </c>
      <c r="AL428">
        <f t="shared" si="387"/>
        <v>1.5076696808431127</v>
      </c>
      <c r="AM428" t="str">
        <f t="shared" si="368"/>
        <v>1-0,994461341510891i</v>
      </c>
      <c r="AN428">
        <f t="shared" si="388"/>
        <v>1.4103025773782167</v>
      </c>
      <c r="AO428">
        <f t="shared" si="389"/>
        <v>-0.78262115080956207</v>
      </c>
      <c r="AP428" s="41" t="str">
        <f t="shared" si="390"/>
        <v>0,406661325600934-0,458817037379128i</v>
      </c>
      <c r="AQ428">
        <f t="shared" si="391"/>
        <v>-4.2494326303565675</v>
      </c>
      <c r="AR428" s="43">
        <f t="shared" si="392"/>
        <v>-48.448604572892179</v>
      </c>
      <c r="AS428" t="str">
        <f t="shared" si="369"/>
        <v>-0,0000166666666666667</v>
      </c>
      <c r="AT428" t="str">
        <f t="shared" si="370"/>
        <v>0,0012039113831635i</v>
      </c>
      <c r="AU428">
        <f t="shared" si="393"/>
        <v>1.2039113831635001E-3</v>
      </c>
      <c r="AV428">
        <f t="shared" si="394"/>
        <v>1.5707963267948966</v>
      </c>
      <c r="AW428" t="str">
        <f t="shared" si="371"/>
        <v>1+3,77313059005244i</v>
      </c>
      <c r="AX428">
        <f t="shared" si="395"/>
        <v>3.9033978082677496</v>
      </c>
      <c r="AY428">
        <f t="shared" si="396"/>
        <v>1.3117207821050065</v>
      </c>
      <c r="AZ428" t="str">
        <f t="shared" si="372"/>
        <v>1+261,032034457264i</v>
      </c>
      <c r="BA428">
        <f t="shared" si="397"/>
        <v>261.03394992394811</v>
      </c>
      <c r="BB428">
        <f t="shared" si="398"/>
        <v>1.566965398111873</v>
      </c>
      <c r="BC428" s="41" t="str">
        <f t="shared" si="399"/>
        <v>-0,233743216401717+0,895787445352597i</v>
      </c>
      <c r="BD428">
        <f t="shared" si="400"/>
        <v>-0.66983180019844213</v>
      </c>
      <c r="BE428" s="43">
        <f t="shared" si="401"/>
        <v>104.62443924063075</v>
      </c>
      <c r="BF428" s="41" t="str">
        <f t="shared" si="402"/>
        <v>0,406148735745304+0,0273808661976574i</v>
      </c>
      <c r="BG428" s="20">
        <f t="shared" si="403"/>
        <v>-7.8066043627424762</v>
      </c>
      <c r="BH428" s="43">
        <f t="shared" si="404"/>
        <v>3.8568083655948229</v>
      </c>
      <c r="BI428" s="41" t="str">
        <f t="shared" si="357"/>
        <v>0,315948215565948+0,471527480040666i</v>
      </c>
      <c r="BJ428" s="20">
        <f t="shared" si="405"/>
        <v>-4.9192644305550024</v>
      </c>
      <c r="BK428" s="43">
        <f t="shared" si="358"/>
        <v>56.175834667738599</v>
      </c>
      <c r="BL428">
        <f t="shared" si="406"/>
        <v>-7.8066043627424762</v>
      </c>
      <c r="BM428" s="43">
        <f t="shared" si="407"/>
        <v>3.8568083655948229</v>
      </c>
    </row>
    <row r="429" spans="14:65" x14ac:dyDescent="0.25">
      <c r="N429" s="9">
        <v>11</v>
      </c>
      <c r="O429" s="34">
        <f t="shared" si="408"/>
        <v>128824.95516931375</v>
      </c>
      <c r="P429" s="33" t="str">
        <f t="shared" si="360"/>
        <v>54,631621870174</v>
      </c>
      <c r="Q429" s="4" t="str">
        <f t="shared" si="361"/>
        <v>1+6452,17760924183i</v>
      </c>
      <c r="R429" s="4">
        <f t="shared" si="373"/>
        <v>6452.1776867350472</v>
      </c>
      <c r="S429" s="4">
        <f t="shared" si="374"/>
        <v>1.5706413403620123</v>
      </c>
      <c r="T429" s="4" t="str">
        <f t="shared" si="362"/>
        <v>1+16,188621310358i</v>
      </c>
      <c r="U429" s="4">
        <f t="shared" si="375"/>
        <v>16.219477794620179</v>
      </c>
      <c r="V429" s="4">
        <f t="shared" si="376"/>
        <v>1.5091029331935597</v>
      </c>
      <c r="W429" t="str">
        <f t="shared" si="363"/>
        <v>1-3,22100047972619i</v>
      </c>
      <c r="X429" s="4">
        <f t="shared" si="377"/>
        <v>3.3726612771513746</v>
      </c>
      <c r="Y429" s="4">
        <f t="shared" si="378"/>
        <v>-1.2697687221747453</v>
      </c>
      <c r="Z429" t="str">
        <f t="shared" si="364"/>
        <v>0,933616523702497+0,442539414325207i</v>
      </c>
      <c r="AA429" s="4">
        <f t="shared" si="379"/>
        <v>1.0331896953423569</v>
      </c>
      <c r="AB429" s="4">
        <f t="shared" si="380"/>
        <v>0.44263664227112365</v>
      </c>
      <c r="AC429" s="47" t="str">
        <f t="shared" si="381"/>
        <v>-0,0904455919193755-0,439079896667841i</v>
      </c>
      <c r="AD429" s="20">
        <f t="shared" si="382"/>
        <v>-6.96865394722834</v>
      </c>
      <c r="AE429" s="43">
        <f t="shared" si="383"/>
        <v>-101.63949120701983</v>
      </c>
      <c r="AF429" t="str">
        <f t="shared" si="365"/>
        <v>171,265703090588</v>
      </c>
      <c r="AG429" t="str">
        <f t="shared" si="366"/>
        <v>1+6390,43015701849i</v>
      </c>
      <c r="AH429">
        <f t="shared" si="384"/>
        <v>6390.4302352604836</v>
      </c>
      <c r="AI429">
        <f t="shared" si="385"/>
        <v>1.5706398428075488</v>
      </c>
      <c r="AJ429" t="str">
        <f t="shared" si="367"/>
        <v>1+16,188621310358i</v>
      </c>
      <c r="AK429">
        <f t="shared" si="386"/>
        <v>16.219477794620179</v>
      </c>
      <c r="AL429">
        <f t="shared" si="387"/>
        <v>1.5091029331935597</v>
      </c>
      <c r="AM429" t="str">
        <f t="shared" si="368"/>
        <v>1-1,01762532186221i</v>
      </c>
      <c r="AN429">
        <f t="shared" si="388"/>
        <v>1.426730982244083</v>
      </c>
      <c r="AO429">
        <f t="shared" si="389"/>
        <v>-0.79413361757237766</v>
      </c>
      <c r="AP429" s="41" t="str">
        <f t="shared" si="390"/>
        <v>0,4066611284214-0,468244197064342i</v>
      </c>
      <c r="AQ429">
        <f t="shared" si="391"/>
        <v>-4.1496147288091114</v>
      </c>
      <c r="AR429" s="43">
        <f t="shared" si="392"/>
        <v>-49.026309861513006</v>
      </c>
      <c r="AS429" t="str">
        <f t="shared" si="369"/>
        <v>-0,0000166666666666667</v>
      </c>
      <c r="AT429" t="str">
        <f t="shared" si="370"/>
        <v>0,00123195408171825i</v>
      </c>
      <c r="AU429">
        <f t="shared" si="393"/>
        <v>1.23195408171825E-3</v>
      </c>
      <c r="AV429">
        <f t="shared" si="394"/>
        <v>1.5707963267948966</v>
      </c>
      <c r="AW429" t="str">
        <f t="shared" si="371"/>
        <v>1+3,86101809176081i</v>
      </c>
      <c r="AX429">
        <f t="shared" si="395"/>
        <v>3.9884158139422081</v>
      </c>
      <c r="AY429">
        <f t="shared" si="396"/>
        <v>1.317366071143435</v>
      </c>
      <c r="AZ429" t="str">
        <f t="shared" si="372"/>
        <v>1+267,112251620907i</v>
      </c>
      <c r="BA429">
        <f t="shared" si="397"/>
        <v>267.11412348655529</v>
      </c>
      <c r="BB429">
        <f t="shared" si="398"/>
        <v>1.5670525998707403</v>
      </c>
      <c r="BC429" s="41" t="str">
        <f t="shared" si="399"/>
        <v>-0,223884374776439+0,87795026423307i</v>
      </c>
      <c r="BD429">
        <f t="shared" si="400"/>
        <v>-0.85698698117961147</v>
      </c>
      <c r="BE429" s="43">
        <f t="shared" si="401"/>
        <v>104.3059842973466</v>
      </c>
      <c r="BF429" s="41" t="str">
        <f t="shared" si="402"/>
        <v>0,405739666097114+0,0188963968180509i</v>
      </c>
      <c r="BG429" s="20">
        <f t="shared" si="403"/>
        <v>-7.8256409284079611</v>
      </c>
      <c r="BH429" s="43">
        <f t="shared" si="404"/>
        <v>2.6664930903267616</v>
      </c>
      <c r="BI429" s="41" t="str">
        <f t="shared" si="357"/>
        <v>0,320050044055734+0,461860804453332i</v>
      </c>
      <c r="BJ429" s="20">
        <f t="shared" si="405"/>
        <v>-5.0066017099887326</v>
      </c>
      <c r="BK429" s="43">
        <f t="shared" si="358"/>
        <v>55.279674435833599</v>
      </c>
      <c r="BL429">
        <f t="shared" si="406"/>
        <v>-7.8256409284079611</v>
      </c>
      <c r="BM429" s="43">
        <f t="shared" si="407"/>
        <v>2.6664930903267616</v>
      </c>
    </row>
    <row r="430" spans="14:65" x14ac:dyDescent="0.25">
      <c r="N430" s="9">
        <v>12</v>
      </c>
      <c r="O430" s="34">
        <f t="shared" si="408"/>
        <v>131825.67385564081</v>
      </c>
      <c r="P430" s="33" t="str">
        <f t="shared" si="360"/>
        <v>54,631621870174</v>
      </c>
      <c r="Q430" s="4" t="str">
        <f t="shared" si="361"/>
        <v>1+6602,46813248794i</v>
      </c>
      <c r="R430" s="4">
        <f t="shared" si="373"/>
        <v>6602.4682082171958</v>
      </c>
      <c r="S430" s="4">
        <f t="shared" si="374"/>
        <v>1.5706448682838843</v>
      </c>
      <c r="T430" s="4" t="str">
        <f t="shared" si="362"/>
        <v>1+16,5657027415762i</v>
      </c>
      <c r="U430" s="4">
        <f t="shared" si="375"/>
        <v>16.595858137567493</v>
      </c>
      <c r="V430" s="4">
        <f t="shared" si="376"/>
        <v>1.5105038060085794</v>
      </c>
      <c r="W430" t="str">
        <f t="shared" si="363"/>
        <v>1-3,29602721903675i</v>
      </c>
      <c r="X430" s="4">
        <f t="shared" si="377"/>
        <v>3.4443860742708758</v>
      </c>
      <c r="Y430" s="4">
        <f t="shared" si="378"/>
        <v>-1.2762272649531383</v>
      </c>
      <c r="Z430" t="str">
        <f t="shared" si="364"/>
        <v>0,930487966850025+0,452847481487013i</v>
      </c>
      <c r="AA430" s="4">
        <f t="shared" si="379"/>
        <v>1.0348326907968377</v>
      </c>
      <c r="AB430" s="4">
        <f t="shared" si="380"/>
        <v>0.45293285224335084</v>
      </c>
      <c r="AC430" s="47" t="str">
        <f t="shared" si="381"/>
        <v>-0,0990783785955569-0,446198443351897i</v>
      </c>
      <c r="AD430" s="20">
        <f t="shared" si="382"/>
        <v>-6.8004165246103216</v>
      </c>
      <c r="AE430" s="43">
        <f t="shared" si="383"/>
        <v>-102.51940586151406</v>
      </c>
      <c r="AF430" t="str">
        <f t="shared" si="365"/>
        <v>171,265703090588</v>
      </c>
      <c r="AG430" t="str">
        <f t="shared" si="366"/>
        <v>1+6539,2823973366i</v>
      </c>
      <c r="AH430">
        <f t="shared" si="384"/>
        <v>6539.2824737975889</v>
      </c>
      <c r="AI430">
        <f t="shared" si="385"/>
        <v>1.5706434048179205</v>
      </c>
      <c r="AJ430" t="str">
        <f t="shared" si="367"/>
        <v>1+16,5657027415762i</v>
      </c>
      <c r="AK430">
        <f t="shared" si="386"/>
        <v>16.595858137567493</v>
      </c>
      <c r="AL430">
        <f t="shared" si="387"/>
        <v>1.5105038060085794</v>
      </c>
      <c r="AM430" t="str">
        <f t="shared" si="368"/>
        <v>1-1,04132886062905i</v>
      </c>
      <c r="AN430">
        <f t="shared" si="388"/>
        <v>1.4437332842249622</v>
      </c>
      <c r="AO430">
        <f t="shared" si="389"/>
        <v>-0.80564145485112804</v>
      </c>
      <c r="AP430" s="41" t="str">
        <f t="shared" si="390"/>
        <v>0,406660940116409-0,477919626018012i</v>
      </c>
      <c r="AQ430">
        <f t="shared" si="391"/>
        <v>-4.0474602646052684</v>
      </c>
      <c r="AR430" s="43">
        <f t="shared" si="392"/>
        <v>-49.605600357134442</v>
      </c>
      <c r="AS430" t="str">
        <f t="shared" si="369"/>
        <v>-0,0000166666666666667</v>
      </c>
      <c r="AT430" t="str">
        <f t="shared" si="370"/>
        <v>0,00126064997863395i</v>
      </c>
      <c r="AU430">
        <f t="shared" si="393"/>
        <v>1.2606499786339501E-3</v>
      </c>
      <c r="AV430">
        <f t="shared" si="394"/>
        <v>1.5707963267948966</v>
      </c>
      <c r="AW430" t="str">
        <f t="shared" si="371"/>
        <v>1+3,95095275636804i</v>
      </c>
      <c r="AX430">
        <f t="shared" si="395"/>
        <v>4.0755401707077077</v>
      </c>
      <c r="AY430">
        <f t="shared" si="396"/>
        <v>1.3228988552934038</v>
      </c>
      <c r="AZ430" t="str">
        <f t="shared" si="372"/>
        <v>1+273,334095236007i</v>
      </c>
      <c r="BA430">
        <f t="shared" si="397"/>
        <v>273.33592449307969</v>
      </c>
      <c r="BB430">
        <f t="shared" si="398"/>
        <v>1.5671378167302548</v>
      </c>
      <c r="BC430" s="41" t="str">
        <f t="shared" si="399"/>
        <v>-0,214414567040855+0,860362517908329i</v>
      </c>
      <c r="BD430">
        <f t="shared" si="400"/>
        <v>-1.0446846923566291</v>
      </c>
      <c r="BE430" s="43">
        <f t="shared" si="401"/>
        <v>103.99386168298996</v>
      </c>
      <c r="BF430" s="41" t="str">
        <f t="shared" si="402"/>
        <v>0,405136263858691+0,0104281227668524i</v>
      </c>
      <c r="BG430" s="20">
        <f t="shared" si="403"/>
        <v>-7.8451012169669543</v>
      </c>
      <c r="BH430" s="43">
        <f t="shared" si="404"/>
        <v>1.4744558214758896</v>
      </c>
      <c r="BI430" s="41" t="str">
        <f t="shared" si="357"/>
        <v>0,323990103391177+0,452348760066501i</v>
      </c>
      <c r="BJ430" s="20">
        <f t="shared" si="405"/>
        <v>-5.0921449569618993</v>
      </c>
      <c r="BK430" s="43">
        <f t="shared" si="358"/>
        <v>54.388261325855495</v>
      </c>
      <c r="BL430">
        <f t="shared" si="406"/>
        <v>-7.8451012169669543</v>
      </c>
      <c r="BM430" s="43">
        <f t="shared" si="407"/>
        <v>1.4744558214758896</v>
      </c>
    </row>
    <row r="431" spans="14:65" x14ac:dyDescent="0.25">
      <c r="N431" s="9">
        <v>13</v>
      </c>
      <c r="O431" s="34">
        <f t="shared" si="408"/>
        <v>134896.28825916545</v>
      </c>
      <c r="P431" s="33" t="str">
        <f t="shared" si="360"/>
        <v>54,631621870174</v>
      </c>
      <c r="Q431" s="4" t="str">
        <f t="shared" si="361"/>
        <v>1+6756,2593717319i</v>
      </c>
      <c r="R431" s="4">
        <f t="shared" si="373"/>
        <v>6756.2594457373461</v>
      </c>
      <c r="S431" s="4">
        <f t="shared" si="374"/>
        <v>1.5706483159004538</v>
      </c>
      <c r="T431" s="4" t="str">
        <f t="shared" si="362"/>
        <v>1+16,951567527661i</v>
      </c>
      <c r="U431" s="4">
        <f t="shared" si="375"/>
        <v>16.981037708127584</v>
      </c>
      <c r="V431" s="4">
        <f t="shared" si="376"/>
        <v>1.5118730200439792</v>
      </c>
      <c r="W431" t="str">
        <f t="shared" si="363"/>
        <v>1-3,37280155560692i</v>
      </c>
      <c r="X431" s="4">
        <f t="shared" si="377"/>
        <v>3.5179241511869548</v>
      </c>
      <c r="Y431" s="4">
        <f t="shared" si="378"/>
        <v>-1.2825633453882159</v>
      </c>
      <c r="Z431" t="str">
        <f t="shared" si="364"/>
        <v>0,9272119656556+0,463395654377649i</v>
      </c>
      <c r="AA431" s="4">
        <f t="shared" si="379"/>
        <v>1.036560447707229</v>
      </c>
      <c r="AB431" s="4">
        <f t="shared" si="380"/>
        <v>0.46346612080462346</v>
      </c>
      <c r="AC431" s="47" t="str">
        <f t="shared" si="381"/>
        <v>-0,108057380447048-0,453307319801866i</v>
      </c>
      <c r="AD431" s="20">
        <f t="shared" si="382"/>
        <v>-6.6321232023824894</v>
      </c>
      <c r="AE431" s="43">
        <f t="shared" si="383"/>
        <v>-103.40769571053849</v>
      </c>
      <c r="AF431" t="str">
        <f t="shared" si="365"/>
        <v>171,265703090588</v>
      </c>
      <c r="AG431" t="str">
        <f t="shared" si="366"/>
        <v>1+6691,60185173944i</v>
      </c>
      <c r="AH431">
        <f t="shared" si="384"/>
        <v>6691.6019264599636</v>
      </c>
      <c r="AI431">
        <f t="shared" si="385"/>
        <v>1.570646885747041</v>
      </c>
      <c r="AJ431" t="str">
        <f t="shared" si="367"/>
        <v>1+16,951567527661i</v>
      </c>
      <c r="AK431">
        <f t="shared" si="386"/>
        <v>16.981037708127584</v>
      </c>
      <c r="AL431">
        <f t="shared" si="387"/>
        <v>1.5118730200439792</v>
      </c>
      <c r="AM431" t="str">
        <f t="shared" si="368"/>
        <v>1-1,06558452574141i</v>
      </c>
      <c r="AN431">
        <f t="shared" si="388"/>
        <v>1.4613248719910112</v>
      </c>
      <c r="AO431">
        <f t="shared" si="389"/>
        <v>-0.8171385734309411</v>
      </c>
      <c r="AP431" s="41" t="str">
        <f t="shared" si="390"/>
        <v>0,406660760286539-0,487848454280813i</v>
      </c>
      <c r="AQ431">
        <f t="shared" si="391"/>
        <v>-3.9429738647695363</v>
      </c>
      <c r="AR431" s="43">
        <f t="shared" si="392"/>
        <v>-50.186085985387876</v>
      </c>
      <c r="AS431" t="str">
        <f t="shared" si="369"/>
        <v>-0,0000166666666666667</v>
      </c>
      <c r="AT431" t="str">
        <f t="shared" si="370"/>
        <v>0,001290014288855i</v>
      </c>
      <c r="AU431">
        <f t="shared" si="393"/>
        <v>1.2900142888549999E-3</v>
      </c>
      <c r="AV431">
        <f t="shared" si="394"/>
        <v>1.5707963267948966</v>
      </c>
      <c r="AW431" t="str">
        <f t="shared" si="371"/>
        <v>1+4,04298226842374i</v>
      </c>
      <c r="AX431">
        <f t="shared" si="395"/>
        <v>4.1648175977812967</v>
      </c>
      <c r="AY431">
        <f t="shared" si="396"/>
        <v>1.3283207125959833</v>
      </c>
      <c r="AZ431" t="str">
        <f t="shared" si="372"/>
        <v>1+279,700864206407i</v>
      </c>
      <c r="BA431">
        <f t="shared" si="397"/>
        <v>279.70265182477431</v>
      </c>
      <c r="BB431">
        <f t="shared" si="398"/>
        <v>1.5672210938685696</v>
      </c>
      <c r="BC431" s="41" t="str">
        <f t="shared" si="399"/>
        <v>-0,205320669660119+0,843027580310227i</v>
      </c>
      <c r="BD431">
        <f t="shared" si="400"/>
        <v>-1.2329034621461092</v>
      </c>
      <c r="BE431" s="43">
        <f t="shared" si="401"/>
        <v>103.68798357098534</v>
      </c>
      <c r="BF431" s="41" t="str">
        <f t="shared" si="402"/>
        <v>0,404336986664588+0,00197801049061634i</v>
      </c>
      <c r="BG431" s="20">
        <f t="shared" si="403"/>
        <v>-7.8650266645285853</v>
      </c>
      <c r="BH431" s="43">
        <f t="shared" si="404"/>
        <v>0.28028786044685994</v>
      </c>
      <c r="BI431" s="41" t="str">
        <f t="shared" si="357"/>
        <v>0,327773842343913+0,442991608077069i</v>
      </c>
      <c r="BJ431" s="20">
        <f t="shared" si="405"/>
        <v>-5.1758773269156411</v>
      </c>
      <c r="BK431" s="43">
        <f t="shared" si="358"/>
        <v>53.501897585597483</v>
      </c>
      <c r="BL431">
        <f t="shared" si="406"/>
        <v>-7.8650266645285853</v>
      </c>
      <c r="BM431" s="43">
        <f t="shared" si="407"/>
        <v>0.28028786044685994</v>
      </c>
    </row>
    <row r="432" spans="14:65" x14ac:dyDescent="0.25">
      <c r="N432" s="9">
        <v>14</v>
      </c>
      <c r="O432" s="34">
        <f t="shared" si="408"/>
        <v>138038.42646028858</v>
      </c>
      <c r="P432" s="33" t="str">
        <f t="shared" si="360"/>
        <v>54,631621870174</v>
      </c>
      <c r="Q432" s="4" t="str">
        <f t="shared" si="361"/>
        <v>1+6913,63286912443i</v>
      </c>
      <c r="R432" s="4">
        <f t="shared" si="373"/>
        <v>6913.6329414453076</v>
      </c>
      <c r="S432" s="4">
        <f t="shared" si="374"/>
        <v>1.5706516850396925</v>
      </c>
      <c r="T432" s="4" t="str">
        <f t="shared" si="362"/>
        <v>1+17,3464202592295i</v>
      </c>
      <c r="U432" s="4">
        <f t="shared" si="375"/>
        <v>17.375220741326068</v>
      </c>
      <c r="V432" s="4">
        <f t="shared" si="376"/>
        <v>1.5132112807281193</v>
      </c>
      <c r="W432" t="str">
        <f t="shared" si="363"/>
        <v>1-3,45136419620619i</v>
      </c>
      <c r="X432" s="4">
        <f t="shared" si="377"/>
        <v>3.5933152957754761</v>
      </c>
      <c r="Y432" s="4">
        <f t="shared" si="378"/>
        <v>-1.2887782872513931</v>
      </c>
      <c r="Z432" t="str">
        <f t="shared" si="364"/>
        <v>0,92378157128147+0,474189525778002i</v>
      </c>
      <c r="AA432" s="4">
        <f t="shared" si="379"/>
        <v>1.0383776277428305</v>
      </c>
      <c r="AB432" s="4">
        <f t="shared" si="380"/>
        <v>0.47424157122366328</v>
      </c>
      <c r="AC432" s="47" t="str">
        <f t="shared" si="381"/>
        <v>-0,117393152341039-0,460394232827463i</v>
      </c>
      <c r="AD432" s="20">
        <f t="shared" si="382"/>
        <v>-6.4638378034356396</v>
      </c>
      <c r="AE432" s="43">
        <f t="shared" si="383"/>
        <v>-104.3046898289507</v>
      </c>
      <c r="AF432" t="str">
        <f t="shared" si="365"/>
        <v>171,265703090588</v>
      </c>
      <c r="AG432" t="str">
        <f t="shared" si="366"/>
        <v>1+6847,46928201789i</v>
      </c>
      <c r="AH432">
        <f t="shared" si="384"/>
        <v>6847.4693550375669</v>
      </c>
      <c r="AI432">
        <f t="shared" si="385"/>
        <v>1.5706502874405446</v>
      </c>
      <c r="AJ432" t="str">
        <f t="shared" si="367"/>
        <v>1+17,3464202592295i</v>
      </c>
      <c r="AK432">
        <f t="shared" si="386"/>
        <v>17.375220741326068</v>
      </c>
      <c r="AL432">
        <f t="shared" si="387"/>
        <v>1.5132112807281193</v>
      </c>
      <c r="AM432" t="str">
        <f t="shared" si="368"/>
        <v>1-1,09040517787399i</v>
      </c>
      <c r="AN432">
        <f t="shared" si="388"/>
        <v>1.4795213590666436</v>
      </c>
      <c r="AO432">
        <f t="shared" si="389"/>
        <v>-0.82861891243159957</v>
      </c>
      <c r="AP432" s="41" t="str">
        <f t="shared" si="390"/>
        <v>0,406660588550344-0,498035946249092i</v>
      </c>
      <c r="AQ432">
        <f t="shared" si="391"/>
        <v>-3.8361625111088293</v>
      </c>
      <c r="AR432" s="43">
        <f t="shared" si="392"/>
        <v>-50.767379171096636</v>
      </c>
      <c r="AS432" t="str">
        <f t="shared" si="369"/>
        <v>-0,0000166666666666667</v>
      </c>
      <c r="AT432" t="str">
        <f t="shared" si="370"/>
        <v>0,00132006258172737i</v>
      </c>
      <c r="AU432">
        <f t="shared" si="393"/>
        <v>1.3200625817273699E-3</v>
      </c>
      <c r="AV432">
        <f t="shared" si="394"/>
        <v>1.5707963267948966</v>
      </c>
      <c r="AW432" t="str">
        <f t="shared" si="371"/>
        <v>1+4,13715542319337i</v>
      </c>
      <c r="AX432">
        <f t="shared" si="395"/>
        <v>4.2562959243523366</v>
      </c>
      <c r="AY432">
        <f t="shared" si="396"/>
        <v>1.3336332421760972</v>
      </c>
      <c r="AZ432" t="str">
        <f t="shared" si="372"/>
        <v>1+286,215934277287i</v>
      </c>
      <c r="BA432">
        <f t="shared" si="397"/>
        <v>286.2176812047436</v>
      </c>
      <c r="BB432">
        <f t="shared" si="398"/>
        <v>1.567302475435703</v>
      </c>
      <c r="BC432" s="41" t="str">
        <f t="shared" si="399"/>
        <v>-0,196589814672775+0,825948281956538i</v>
      </c>
      <c r="BD432">
        <f t="shared" si="400"/>
        <v>-1.4216225485692213</v>
      </c>
      <c r="BE432" s="43">
        <f t="shared" si="401"/>
        <v>103.38826086783335</v>
      </c>
      <c r="BF432" s="41" t="str">
        <f t="shared" si="402"/>
        <v>0,403340123689119-0,00645185558157793i</v>
      </c>
      <c r="BG432" s="20">
        <f t="shared" si="403"/>
        <v>-7.8854603520048627</v>
      </c>
      <c r="BH432" s="43">
        <f t="shared" si="404"/>
        <v>-0.91642896111734606</v>
      </c>
      <c r="BI432" s="41" t="str">
        <f t="shared" si="357"/>
        <v>0,331406604419202+0,43378940882608i</v>
      </c>
      <c r="BJ432" s="20">
        <f t="shared" si="405"/>
        <v>-5.2577850596780582</v>
      </c>
      <c r="BK432" s="43">
        <f t="shared" si="358"/>
        <v>52.620881696736745</v>
      </c>
      <c r="BL432">
        <f t="shared" si="406"/>
        <v>-7.8854603520048627</v>
      </c>
      <c r="BM432" s="43">
        <f t="shared" si="407"/>
        <v>-0.91642896111734606</v>
      </c>
    </row>
    <row r="433" spans="14:65" x14ac:dyDescent="0.25">
      <c r="N433" s="9">
        <v>15</v>
      </c>
      <c r="O433" s="34">
        <f t="shared" si="408"/>
        <v>141253.75446227577</v>
      </c>
      <c r="P433" s="33" t="str">
        <f t="shared" si="360"/>
        <v>54,631621870174</v>
      </c>
      <c r="Q433" s="4" t="str">
        <f t="shared" si="361"/>
        <v>1+7074,67206617693i</v>
      </c>
      <c r="R433" s="4">
        <f t="shared" si="373"/>
        <v>7074.6721368515837</v>
      </c>
      <c r="S433" s="4">
        <f t="shared" si="374"/>
        <v>1.5706549774879626</v>
      </c>
      <c r="T433" s="4" t="str">
        <f t="shared" si="362"/>
        <v>1+17,7504702924265i</v>
      </c>
      <c r="U433" s="4">
        <f t="shared" si="375"/>
        <v>17.778616245431355</v>
      </c>
      <c r="V433" s="4">
        <f t="shared" si="376"/>
        <v>1.5145192784397101</v>
      </c>
      <c r="W433" t="str">
        <f t="shared" si="363"/>
        <v>1-3,5317567957865i</v>
      </c>
      <c r="X433" s="4">
        <f t="shared" si="377"/>
        <v>3.6706002321942011</v>
      </c>
      <c r="Y433" s="4">
        <f t="shared" si="378"/>
        <v>-1.2948734646129563</v>
      </c>
      <c r="Z433" t="str">
        <f t="shared" si="364"/>
        <v>0,920189507401244+0,485234818741565i</v>
      </c>
      <c r="AA433" s="4">
        <f t="shared" si="379"/>
        <v>1.0402891707840198</v>
      </c>
      <c r="AB433" s="4">
        <f t="shared" si="380"/>
        <v>0.48526439566938967</v>
      </c>
      <c r="AC433" s="47" t="str">
        <f t="shared" si="381"/>
        <v>-0,127096211559065-0,467445930127545i</v>
      </c>
      <c r="AD433" s="20">
        <f t="shared" si="382"/>
        <v>-6.2956251681638733</v>
      </c>
      <c r="AE433" s="43">
        <f t="shared" si="383"/>
        <v>-105.21072498110884</v>
      </c>
      <c r="AF433" t="str">
        <f t="shared" si="365"/>
        <v>171,265703090588</v>
      </c>
      <c r="AG433" t="str">
        <f t="shared" si="366"/>
        <v>1+7006,96733114664i</v>
      </c>
      <c r="AH433">
        <f t="shared" si="384"/>
        <v>7006.9674025041868</v>
      </c>
      <c r="AI433">
        <f t="shared" si="385"/>
        <v>1.5706536117020538</v>
      </c>
      <c r="AJ433" t="str">
        <f t="shared" si="367"/>
        <v>1+17,7504702924265i</v>
      </c>
      <c r="AK433">
        <f t="shared" si="386"/>
        <v>17.778616245431355</v>
      </c>
      <c r="AL433">
        <f t="shared" si="387"/>
        <v>1.5145192784397101</v>
      </c>
      <c r="AM433" t="str">
        <f t="shared" si="368"/>
        <v>1-1,11580397726511i</v>
      </c>
      <c r="AN433">
        <f t="shared" si="388"/>
        <v>1.4983385851270861</v>
      </c>
      <c r="AO433">
        <f t="shared" si="389"/>
        <v>-0.84007645520226903</v>
      </c>
      <c r="AP433" s="41" t="str">
        <f t="shared" si="390"/>
        <v>0,406660424543554-0,508487503466104i</v>
      </c>
      <c r="AQ433">
        <f t="shared" si="391"/>
        <v>-3.7270355200671421</v>
      </c>
      <c r="AR433" s="43">
        <f t="shared" si="392"/>
        <v>-51.349095733114048</v>
      </c>
      <c r="AS433" t="str">
        <f t="shared" si="369"/>
        <v>-0,0000166666666666667</v>
      </c>
      <c r="AT433" t="str">
        <f t="shared" si="370"/>
        <v>0,00135081078925366i</v>
      </c>
      <c r="AU433">
        <f t="shared" si="393"/>
        <v>1.3508107892536601E-3</v>
      </c>
      <c r="AV433">
        <f t="shared" si="394"/>
        <v>1.5707963267948966</v>
      </c>
      <c r="AW433" t="str">
        <f t="shared" si="371"/>
        <v>1+4,2335221525301i</v>
      </c>
      <c r="AX433">
        <f t="shared" si="395"/>
        <v>4.3500241167105154</v>
      </c>
      <c r="AY433">
        <f t="shared" si="396"/>
        <v>1.3388380608046127</v>
      </c>
      <c r="AZ433" t="str">
        <f t="shared" si="372"/>
        <v>1+292,882759825037i</v>
      </c>
      <c r="BA433">
        <f t="shared" si="397"/>
        <v>292.88446698780444</v>
      </c>
      <c r="BB433">
        <f t="shared" si="398"/>
        <v>1.5673820045769247</v>
      </c>
      <c r="BC433" s="41" t="str">
        <f t="shared" si="399"/>
        <v>-0,188209401763054+0,809126940516017i</v>
      </c>
      <c r="BD433">
        <f t="shared" si="400"/>
        <v>-1.6108219245622202</v>
      </c>
      <c r="BE433" s="43">
        <f t="shared" si="401"/>
        <v>103.09460341142869</v>
      </c>
      <c r="BF433" s="41" t="str">
        <f t="shared" si="402"/>
        <v>0,402143797244646-0,0148592499440831i</v>
      </c>
      <c r="BG433" s="20">
        <f t="shared" si="403"/>
        <v>-7.9064470927261024</v>
      </c>
      <c r="BH433" s="43">
        <f t="shared" si="404"/>
        <v>-2.1161215696801357</v>
      </c>
      <c r="BI433" s="41" t="str">
        <f t="shared" si="357"/>
        <v>0,334893622746104+0,424742033971215i</v>
      </c>
      <c r="BJ433" s="20">
        <f t="shared" si="405"/>
        <v>-5.3378574446293623</v>
      </c>
      <c r="BK433" s="43">
        <f t="shared" si="358"/>
        <v>51.745507678314723</v>
      </c>
      <c r="BL433">
        <f t="shared" si="406"/>
        <v>-7.9064470927261024</v>
      </c>
      <c r="BM433" s="43">
        <f t="shared" si="407"/>
        <v>-2.1161215696801357</v>
      </c>
    </row>
    <row r="434" spans="14:65" x14ac:dyDescent="0.25">
      <c r="N434" s="9">
        <v>16</v>
      </c>
      <c r="O434" s="34">
        <f t="shared" si="408"/>
        <v>144543.97707459307</v>
      </c>
      <c r="P434" s="33" t="str">
        <f t="shared" si="360"/>
        <v>54,631621870174</v>
      </c>
      <c r="Q434" s="4" t="str">
        <f t="shared" si="361"/>
        <v>1+7239,46234800325i</v>
      </c>
      <c r="R434" s="4">
        <f t="shared" si="373"/>
        <v>7239.4624170691523</v>
      </c>
      <c r="S434" s="4">
        <f t="shared" si="374"/>
        <v>1.5706581949909628</v>
      </c>
      <c r="T434" s="4" t="str">
        <f t="shared" si="362"/>
        <v>1+18,1639318599277i</v>
      </c>
      <c r="U434" s="4">
        <f t="shared" si="375"/>
        <v>18.191438112807262</v>
      </c>
      <c r="V434" s="4">
        <f t="shared" si="376"/>
        <v>1.5157976887839331</v>
      </c>
      <c r="W434" t="str">
        <f t="shared" si="363"/>
        <v>1-3,61402197956826i</v>
      </c>
      <c r="X434" s="4">
        <f t="shared" si="377"/>
        <v>3.7498206448845632</v>
      </c>
      <c r="Y434" s="4">
        <f t="shared" si="378"/>
        <v>-1.3008502969680407</v>
      </c>
      <c r="Z434" t="str">
        <f t="shared" si="364"/>
        <v>0,916428154765838+0,496537389628865i</v>
      </c>
      <c r="AA434" s="4">
        <f t="shared" si="379"/>
        <v>1.0423003128402899</v>
      </c>
      <c r="AB434" s="4">
        <f t="shared" si="380"/>
        <v>0.49653985096430026</v>
      </c>
      <c r="AC434" s="47" t="str">
        <f t="shared" si="381"/>
        <v>-0,137176988916548-0,474448151522613i</v>
      </c>
      <c r="AD434" s="20">
        <f t="shared" si="382"/>
        <v>-6.1275512623987796</v>
      </c>
      <c r="AE434" s="43">
        <f t="shared" si="383"/>
        <v>-106.12614508253188</v>
      </c>
      <c r="AF434" t="str">
        <f t="shared" si="365"/>
        <v>171,265703090588</v>
      </c>
      <c r="AG434" t="str">
        <f t="shared" si="366"/>
        <v>1+7170,18056710253i</v>
      </c>
      <c r="AH434">
        <f t="shared" si="384"/>
        <v>7170.1806368357802</v>
      </c>
      <c r="AI434">
        <f t="shared" si="385"/>
        <v>1.570656860294136</v>
      </c>
      <c r="AJ434" t="str">
        <f t="shared" si="367"/>
        <v>1+18,1639318599277i</v>
      </c>
      <c r="AK434">
        <f t="shared" si="386"/>
        <v>18.191438112807262</v>
      </c>
      <c r="AL434">
        <f t="shared" si="387"/>
        <v>1.5157976887839331</v>
      </c>
      <c r="AM434" t="str">
        <f t="shared" si="368"/>
        <v>1-1,14179439069438i</v>
      </c>
      <c r="AN434">
        <f t="shared" si="388"/>
        <v>1.5177926177910968</v>
      </c>
      <c r="AO434">
        <f t="shared" si="389"/>
        <v>-0.85150524493265811</v>
      </c>
      <c r="AP434" s="41" t="str">
        <f t="shared" si="390"/>
        <v>0,406660267918282-0,51920866748597i</v>
      </c>
      <c r="AQ434">
        <f t="shared" si="391"/>
        <v>-3.6156045124694303</v>
      </c>
      <c r="AR434" s="43">
        <f t="shared" si="392"/>
        <v>-51.930855763013689</v>
      </c>
      <c r="AS434" t="str">
        <f t="shared" si="369"/>
        <v>-0,0000166666666666667</v>
      </c>
      <c r="AT434" t="str">
        <f t="shared" si="370"/>
        <v>0,0013822752145405i</v>
      </c>
      <c r="AU434">
        <f t="shared" si="393"/>
        <v>1.3822752145405E-3</v>
      </c>
      <c r="AV434">
        <f t="shared" si="394"/>
        <v>1.5707963267948966</v>
      </c>
      <c r="AW434" t="str">
        <f t="shared" si="371"/>
        <v>1+4,33213355134938i</v>
      </c>
      <c r="AX434">
        <f t="shared" si="395"/>
        <v>4.4460523058919357</v>
      </c>
      <c r="AY434">
        <f t="shared" si="396"/>
        <v>1.3439367996561369</v>
      </c>
      <c r="AZ434" t="str">
        <f t="shared" si="372"/>
        <v>1+299,704875688807i</v>
      </c>
      <c r="BA434">
        <f t="shared" si="397"/>
        <v>299.70654399202448</v>
      </c>
      <c r="BB434">
        <f t="shared" si="398"/>
        <v>1.5674597234556116</v>
      </c>
      <c r="BC434" s="41" t="str">
        <f t="shared" si="399"/>
        <v>-0,180167108377665+0,792565390602832i</v>
      </c>
      <c r="BD434">
        <f t="shared" si="400"/>
        <v>-1.8004822626652222</v>
      </c>
      <c r="BE434" s="43">
        <f t="shared" si="401"/>
        <v>102.80692015813425</v>
      </c>
      <c r="BF434" s="41" t="str">
        <f t="shared" si="402"/>
        <v>0,400745965961361-0,0232417822674068i</v>
      </c>
      <c r="BG434" s="20">
        <f t="shared" si="403"/>
        <v>-7.9280335250639977</v>
      </c>
      <c r="BH434" s="43">
        <f t="shared" si="404"/>
        <v>-3.3192249243976453</v>
      </c>
      <c r="BI434" s="41" t="str">
        <f t="shared" ref="BI434:BI497" si="409">IMPRODUCT(AP434,BC434)</f>
        <v>0,33824001578747+0,415849178350873i</v>
      </c>
      <c r="BJ434" s="20">
        <f t="shared" si="405"/>
        <v>-5.4160867751346604</v>
      </c>
      <c r="BK434" s="43">
        <f t="shared" ref="BK434:BK497" si="410">(180/PI())*IMARGUMENT(BI434)</f>
        <v>50.876064395120572</v>
      </c>
      <c r="BL434">
        <f t="shared" si="406"/>
        <v>-7.9280335250639977</v>
      </c>
      <c r="BM434" s="43">
        <f t="shared" si="407"/>
        <v>-3.3192249243976453</v>
      </c>
    </row>
    <row r="435" spans="14:65" x14ac:dyDescent="0.25">
      <c r="N435" s="9">
        <v>17</v>
      </c>
      <c r="O435" s="34">
        <f t="shared" si="408"/>
        <v>147910.83881682079</v>
      </c>
      <c r="P435" s="33" t="str">
        <f t="shared" si="360"/>
        <v>54,631621870174</v>
      </c>
      <c r="Q435" s="4" t="str">
        <f t="shared" si="361"/>
        <v>1+7408,09108859208i</v>
      </c>
      <c r="R435" s="4">
        <f t="shared" si="373"/>
        <v>7408.0911560858503</v>
      </c>
      <c r="S435" s="4">
        <f t="shared" si="374"/>
        <v>1.5706613392546562</v>
      </c>
      <c r="T435" s="4" t="str">
        <f t="shared" si="362"/>
        <v>1+18,5870241845291i</v>
      </c>
      <c r="U435" s="4">
        <f t="shared" si="375"/>
        <v>18.613905233353631</v>
      </c>
      <c r="V435" s="4">
        <f t="shared" si="376"/>
        <v>1.5170471728666226</v>
      </c>
      <c r="W435" t="str">
        <f t="shared" si="363"/>
        <v>1-3,69820336564081i</v>
      </c>
      <c r="X435" s="4">
        <f t="shared" si="377"/>
        <v>3.8310192029846331</v>
      </c>
      <c r="Y435" s="4">
        <f t="shared" si="378"/>
        <v>-1.3067102445759491</v>
      </c>
      <c r="Z435" t="str">
        <f t="shared" si="364"/>
        <v>0,912489535042018+0,508103231212595i</v>
      </c>
      <c r="AA435" s="4">
        <f t="shared" si="379"/>
        <v>1.0444166051580557</v>
      </c>
      <c r="AB435" s="4">
        <f t="shared" si="380"/>
        <v>0.50807325361971123</v>
      </c>
      <c r="AC435" s="47" t="str">
        <f t="shared" si="381"/>
        <v>-0,147645773937955-0,481385579951797i</v>
      </c>
      <c r="AD435" s="20">
        <f t="shared" si="382"/>
        <v>-5.9596832907863657</v>
      </c>
      <c r="AE435" s="43">
        <f t="shared" si="383"/>
        <v>-107.05130063274518</v>
      </c>
      <c r="AF435" t="str">
        <f t="shared" si="365"/>
        <v>171,265703090588</v>
      </c>
      <c r="AG435" t="str">
        <f t="shared" si="366"/>
        <v>1+7337,19552770365i</v>
      </c>
      <c r="AH435">
        <f t="shared" si="384"/>
        <v>7337.1955958495782</v>
      </c>
      <c r="AI435">
        <f t="shared" si="385"/>
        <v>1.570660034939237</v>
      </c>
      <c r="AJ435" t="str">
        <f t="shared" si="367"/>
        <v>1+18,5870241845291i</v>
      </c>
      <c r="AK435">
        <f t="shared" si="386"/>
        <v>18.613905233353631</v>
      </c>
      <c r="AL435">
        <f t="shared" si="387"/>
        <v>1.5170471728666226</v>
      </c>
      <c r="AM435" t="str">
        <f t="shared" si="368"/>
        <v>1-1,16839019862303i</v>
      </c>
      <c r="AN435">
        <f t="shared" si="388"/>
        <v>1.5378997549380009</v>
      </c>
      <c r="AO435">
        <f t="shared" si="389"/>
        <v>-0.86289939988294595</v>
      </c>
      <c r="AP435" s="41" t="str">
        <f t="shared" si="390"/>
        <v>0,406660118342308-0,53020512281191i</v>
      </c>
      <c r="AQ435">
        <f t="shared" si="391"/>
        <v>-3.5018833734534391</v>
      </c>
      <c r="AR435" s="43">
        <f t="shared" si="392"/>
        <v>-52.512284482042261</v>
      </c>
      <c r="AS435" t="str">
        <f t="shared" si="369"/>
        <v>-0,0000166666666666667</v>
      </c>
      <c r="AT435" t="str">
        <f t="shared" si="370"/>
        <v>0,00141447254044267i</v>
      </c>
      <c r="AU435">
        <f t="shared" si="393"/>
        <v>1.41447254044267E-3</v>
      </c>
      <c r="AV435">
        <f t="shared" si="394"/>
        <v>1.5707963267948966</v>
      </c>
      <c r="AW435" t="str">
        <f t="shared" si="371"/>
        <v>1+4,43304190472015i</v>
      </c>
      <c r="AX435">
        <f t="shared" si="395"/>
        <v>4.5444318158604666</v>
      </c>
      <c r="AY435">
        <f t="shared" si="396"/>
        <v>1.3489311012572989</v>
      </c>
      <c r="AZ435" t="str">
        <f t="shared" si="372"/>
        <v>1+306,68589904473i</v>
      </c>
      <c r="BA435">
        <f t="shared" si="397"/>
        <v>306.68752937293408</v>
      </c>
      <c r="BB435">
        <f t="shared" si="398"/>
        <v>1.5675356732755841</v>
      </c>
      <c r="BC435" s="41" t="str">
        <f t="shared" si="399"/>
        <v>-0,172450898029084+0,776265012733883i</v>
      </c>
      <c r="BD435">
        <f t="shared" si="400"/>
        <v>-1.9905849191930256</v>
      </c>
      <c r="BE435" s="43">
        <f t="shared" si="401"/>
        <v>102.52511935891144</v>
      </c>
      <c r="BF435" s="41" t="str">
        <f t="shared" si="402"/>
        <v>0,399144429656989-0,0315968730251118i</v>
      </c>
      <c r="BG435" s="20">
        <f t="shared" si="403"/>
        <v>-7.9502682099793889</v>
      </c>
      <c r="BH435" s="43">
        <f t="shared" si="404"/>
        <v>-4.5261812738337177</v>
      </c>
      <c r="BI435" s="41" t="str">
        <f t="shared" si="409"/>
        <v>0,341450783810413+0,407110371511889i</v>
      </c>
      <c r="BJ435" s="20">
        <f t="shared" si="405"/>
        <v>-5.4924682926464605</v>
      </c>
      <c r="BK435" s="43">
        <f t="shared" si="410"/>
        <v>50.012834876869199</v>
      </c>
      <c r="BL435">
        <f t="shared" si="406"/>
        <v>-7.9502682099793889</v>
      </c>
      <c r="BM435" s="43">
        <f t="shared" si="407"/>
        <v>-4.5261812738337177</v>
      </c>
    </row>
    <row r="436" spans="14:65" x14ac:dyDescent="0.25">
      <c r="N436" s="9">
        <v>18</v>
      </c>
      <c r="O436" s="34">
        <f t="shared" si="408"/>
        <v>151356.12484362084</v>
      </c>
      <c r="P436" s="33" t="str">
        <f t="shared" si="360"/>
        <v>54,631621870174</v>
      </c>
      <c r="Q436" s="4" t="str">
        <f t="shared" si="361"/>
        <v>1+7580,64769713379i</v>
      </c>
      <c r="R436" s="4">
        <f t="shared" si="373"/>
        <v>7580.6477630912141</v>
      </c>
      <c r="S436" s="4">
        <f t="shared" si="374"/>
        <v>1.5706644119461723</v>
      </c>
      <c r="T436" s="4" t="str">
        <f t="shared" si="362"/>
        <v>1+19,0199715953816i</v>
      </c>
      <c r="U436" s="4">
        <f t="shared" si="375"/>
        <v>19.046241610594016</v>
      </c>
      <c r="V436" s="4">
        <f t="shared" si="376"/>
        <v>1.5182683775662742</v>
      </c>
      <c r="W436" t="str">
        <f t="shared" si="363"/>
        <v>1-3,78434558808934i</v>
      </c>
      <c r="X436" s="4">
        <f t="shared" si="377"/>
        <v>3.9142395851673739</v>
      </c>
      <c r="Y436" s="4">
        <f t="shared" si="378"/>
        <v>-1.3124548040129695</v>
      </c>
      <c r="Z436" t="str">
        <f t="shared" si="364"/>
        <v>0,908365293889289+0,519938475855056i</v>
      </c>
      <c r="AA436" s="4">
        <f t="shared" si="379"/>
        <v>1.0466439345914413</v>
      </c>
      <c r="AB436" s="4">
        <f t="shared" si="380"/>
        <v>0.51986997407935998</v>
      </c>
      <c r="AC436" s="47" t="str">
        <f t="shared" si="381"/>
        <v>-0,15851265362589-0,488241792619612i</v>
      </c>
      <c r="AD436" s="20">
        <f t="shared" si="382"/>
        <v>-5.7920898153888913</v>
      </c>
      <c r="AE436" s="43">
        <f t="shared" si="383"/>
        <v>-107.9865481151261</v>
      </c>
      <c r="AF436" t="str">
        <f t="shared" si="365"/>
        <v>171,265703090588</v>
      </c>
      <c r="AG436" t="str">
        <f t="shared" si="366"/>
        <v>1+7508,10076649284i</v>
      </c>
      <c r="AH436">
        <f t="shared" si="384"/>
        <v>7508.1008330875775</v>
      </c>
      <c r="AI436">
        <f t="shared" si="385"/>
        <v>1.5706631373205957</v>
      </c>
      <c r="AJ436" t="str">
        <f t="shared" si="367"/>
        <v>1+19,0199715953816i</v>
      </c>
      <c r="AK436">
        <f t="shared" si="386"/>
        <v>19.046241610594016</v>
      </c>
      <c r="AL436">
        <f t="shared" si="387"/>
        <v>1.5182683775662742</v>
      </c>
      <c r="AM436" t="str">
        <f t="shared" si="368"/>
        <v>1-1,19560550250047i</v>
      </c>
      <c r="AN436">
        <f t="shared" si="388"/>
        <v>1.5586765275737622</v>
      </c>
      <c r="AO436">
        <f t="shared" si="389"/>
        <v>-0.87425312813911227</v>
      </c>
      <c r="AP436" s="41" t="str">
        <f t="shared" si="390"/>
        <v>0,406659975498365-0,541482699910226i</v>
      </c>
      <c r="AQ436">
        <f t="shared" si="391"/>
        <v>-3.3858882029736375</v>
      </c>
      <c r="AR436" s="43">
        <f t="shared" si="392"/>
        <v>-53.093013071005579</v>
      </c>
      <c r="AS436" t="str">
        <f t="shared" si="369"/>
        <v>-0,0000166666666666667</v>
      </c>
      <c r="AT436" t="str">
        <f t="shared" si="370"/>
        <v>0,00144741983840854i</v>
      </c>
      <c r="AU436">
        <f t="shared" si="393"/>
        <v>1.44741983840854E-3</v>
      </c>
      <c r="AV436">
        <f t="shared" si="394"/>
        <v>1.5707963267948966</v>
      </c>
      <c r="AW436" t="str">
        <f t="shared" si="371"/>
        <v>1+4,53630071558706i</v>
      </c>
      <c r="AX436">
        <f t="shared" si="395"/>
        <v>4.6452151922419782</v>
      </c>
      <c r="AY436">
        <f t="shared" si="396"/>
        <v>1.3538226166199088</v>
      </c>
      <c r="AZ436" t="str">
        <f t="shared" si="372"/>
        <v>1+313,829531323796i</v>
      </c>
      <c r="BA436">
        <f t="shared" si="397"/>
        <v>313.83112454139001</v>
      </c>
      <c r="BB436">
        <f t="shared" si="398"/>
        <v>1.5676098943029357</v>
      </c>
      <c r="BC436" s="41" t="str">
        <f t="shared" si="399"/>
        <v>-0,165049026922968+0,760226761394775i</v>
      </c>
      <c r="BD436">
        <f t="shared" si="400"/>
        <v>-2.1811119179869505</v>
      </c>
      <c r="BE436" s="43">
        <f t="shared" si="401"/>
        <v>102.24910872482877</v>
      </c>
      <c r="BF436" s="41" t="str">
        <f t="shared" si="402"/>
        <v>0,397336836016718-0,0399217285311096i</v>
      </c>
      <c r="BG436" s="20">
        <f t="shared" si="403"/>
        <v>-7.9732017333758334</v>
      </c>
      <c r="BH436" s="43">
        <f t="shared" si="404"/>
        <v>-5.7374393902972969</v>
      </c>
      <c r="BI436" s="41" t="str">
        <f t="shared" si="409"/>
        <v>0,344530806059527+0,398524988877805i</v>
      </c>
      <c r="BJ436" s="20">
        <f t="shared" si="405"/>
        <v>-5.5670001209605866</v>
      </c>
      <c r="BK436" s="43">
        <f t="shared" si="410"/>
        <v>49.156095653823201</v>
      </c>
      <c r="BL436">
        <f t="shared" si="406"/>
        <v>-7.9732017333758334</v>
      </c>
      <c r="BM436" s="43">
        <f t="shared" si="407"/>
        <v>-5.7374393902972969</v>
      </c>
    </row>
    <row r="437" spans="14:65" x14ac:dyDescent="0.25">
      <c r="N437" s="9">
        <v>19</v>
      </c>
      <c r="O437" s="34">
        <f t="shared" si="408"/>
        <v>154881.66189124843</v>
      </c>
      <c r="P437" s="33" t="str">
        <f t="shared" si="360"/>
        <v>54,631621870174</v>
      </c>
      <c r="Q437" s="4" t="str">
        <f t="shared" si="361"/>
        <v>1+7757,22366542625i</v>
      </c>
      <c r="R437" s="4">
        <f t="shared" si="373"/>
        <v>7757.2237298823002</v>
      </c>
      <c r="S437" s="4">
        <f t="shared" si="374"/>
        <v>1.5706674146946928</v>
      </c>
      <c r="T437" s="4" t="str">
        <f t="shared" si="362"/>
        <v>1+19,463003646933i</v>
      </c>
      <c r="U437" s="4">
        <f t="shared" si="375"/>
        <v>19.488676480472634</v>
      </c>
      <c r="V437" s="4">
        <f t="shared" si="376"/>
        <v>1.5194619358036614</v>
      </c>
      <c r="W437" t="str">
        <f t="shared" si="363"/>
        <v>1-3,87249432066042i</v>
      </c>
      <c r="X437" s="4">
        <f t="shared" si="377"/>
        <v>3.9995265049187023</v>
      </c>
      <c r="Y437" s="4">
        <f t="shared" si="378"/>
        <v>-1.3180855039377102</v>
      </c>
      <c r="Z437" t="str">
        <f t="shared" si="364"/>
        <v>0,90404668323922+0,532049398759616i</v>
      </c>
      <c r="AA437" s="4">
        <f t="shared" si="379"/>
        <v>1.0489885453122467</v>
      </c>
      <c r="AB437" s="4">
        <f t="shared" si="380"/>
        <v>0.5319354300925645</v>
      </c>
      <c r="AC437" s="47" t="str">
        <f t="shared" si="381"/>
        <v>-0,169787444352569-0,494999212747175i</v>
      </c>
      <c r="AD437" s="20">
        <f t="shared" si="382"/>
        <v>-5.624840879254589</v>
      </c>
      <c r="AE437" s="43">
        <f t="shared" si="383"/>
        <v>-108.93224935918755</v>
      </c>
      <c r="AF437" t="str">
        <f t="shared" si="365"/>
        <v>171,265703090588</v>
      </c>
      <c r="AG437" t="str">
        <f t="shared" si="366"/>
        <v>1+7682,9868996899i</v>
      </c>
      <c r="AH437">
        <f t="shared" si="384"/>
        <v>7682.9869647687556</v>
      </c>
      <c r="AI437">
        <f t="shared" si="385"/>
        <v>1.5706661690831356</v>
      </c>
      <c r="AJ437" t="str">
        <f t="shared" si="367"/>
        <v>1+19,463003646933i</v>
      </c>
      <c r="AK437">
        <f t="shared" si="386"/>
        <v>19.488676480472634</v>
      </c>
      <c r="AL437">
        <f t="shared" si="387"/>
        <v>1.5194619358036614</v>
      </c>
      <c r="AM437" t="str">
        <f t="shared" si="368"/>
        <v>1-1,22345473224104i</v>
      </c>
      <c r="AN437">
        <f t="shared" si="388"/>
        <v>1.5801397032677189</v>
      </c>
      <c r="AO437">
        <f t="shared" si="389"/>
        <v>-0.88556074180598743</v>
      </c>
      <c r="AP437" s="41" t="str">
        <f t="shared" si="390"/>
        <v>0,406659839083455-0,55304737830169i</v>
      </c>
      <c r="AQ437">
        <f t="shared" si="391"/>
        <v>-3.2676372573361738</v>
      </c>
      <c r="AR437" s="43">
        <f t="shared" si="392"/>
        <v>-53.672679468074712</v>
      </c>
      <c r="AS437" t="str">
        <f t="shared" si="369"/>
        <v>-0,0000166666666666667</v>
      </c>
      <c r="AT437" t="str">
        <f t="shared" si="370"/>
        <v>0,0014811345775316i</v>
      </c>
      <c r="AU437">
        <f t="shared" si="393"/>
        <v>1.4811345775316001E-3</v>
      </c>
      <c r="AV437">
        <f t="shared" si="394"/>
        <v>1.5707963267948966</v>
      </c>
      <c r="AW437" t="str">
        <f t="shared" si="371"/>
        <v>1+4,64196473313842i</v>
      </c>
      <c r="AX437">
        <f t="shared" si="395"/>
        <v>4.7484562316294809</v>
      </c>
      <c r="AY437">
        <f t="shared" si="396"/>
        <v>1.3586130025530772</v>
      </c>
      <c r="AZ437" t="str">
        <f t="shared" si="372"/>
        <v>1+321,139560174394i</v>
      </c>
      <c r="BA437">
        <f t="shared" si="397"/>
        <v>321.14111712610583</v>
      </c>
      <c r="BB437">
        <f t="shared" si="398"/>
        <v>1.5676824258873641</v>
      </c>
      <c r="BC437" s="41" t="str">
        <f t="shared" si="399"/>
        <v>-0,15795004904252+0,744451192171725i</v>
      </c>
      <c r="BD437">
        <f t="shared" si="400"/>
        <v>-2.372045933838395</v>
      </c>
      <c r="BE437" s="43">
        <f t="shared" si="401"/>
        <v>101.97879558228856</v>
      </c>
      <c r="BF437" s="41" t="str">
        <f t="shared" si="402"/>
        <v>0,395320689215992-0,0482133154346353i</v>
      </c>
      <c r="BG437" s="20">
        <f t="shared" si="403"/>
        <v>-7.9968868130929884</v>
      </c>
      <c r="BH437" s="43">
        <f t="shared" si="404"/>
        <v>-6.9534537768989981</v>
      </c>
      <c r="BI437" s="41" t="str">
        <f t="shared" si="409"/>
        <v>0,347484838577285+0,390092262539629i</v>
      </c>
      <c r="BJ437" s="20">
        <f t="shared" si="405"/>
        <v>-5.6396831911745684</v>
      </c>
      <c r="BK437" s="43">
        <f t="shared" si="410"/>
        <v>48.306116114213857</v>
      </c>
      <c r="BL437">
        <f t="shared" si="406"/>
        <v>-7.9968868130929884</v>
      </c>
      <c r="BM437" s="43">
        <f t="shared" si="407"/>
        <v>-6.9534537768989981</v>
      </c>
    </row>
    <row r="438" spans="14:65" x14ac:dyDescent="0.25">
      <c r="N438" s="9">
        <v>20</v>
      </c>
      <c r="O438" s="34">
        <f t="shared" si="408"/>
        <v>158489.31924611164</v>
      </c>
      <c r="P438" s="33" t="str">
        <f t="shared" si="360"/>
        <v>54,631621870174</v>
      </c>
      <c r="Q438" s="4" t="str">
        <f t="shared" si="361"/>
        <v>1+7937,9126163851i</v>
      </c>
      <c r="R438" s="4">
        <f t="shared" si="373"/>
        <v>7937.9126793739506</v>
      </c>
      <c r="S438" s="4">
        <f t="shared" si="374"/>
        <v>1.5706703490923144</v>
      </c>
      <c r="T438" s="4" t="str">
        <f t="shared" si="362"/>
        <v>1+19,9163552406413i</v>
      </c>
      <c r="U438" s="4">
        <f t="shared" si="375"/>
        <v>19.941444432924612</v>
      </c>
      <c r="V438" s="4">
        <f t="shared" si="376"/>
        <v>1.5206284668088774</v>
      </c>
      <c r="W438" t="str">
        <f t="shared" si="363"/>
        <v>1-3,96269630097882i</v>
      </c>
      <c r="X438" s="4">
        <f t="shared" si="377"/>
        <v>4.0869257362706284</v>
      </c>
      <c r="Y438" s="4">
        <f t="shared" si="378"/>
        <v>-1.3236039010669962</v>
      </c>
      <c r="Z438" t="str">
        <f t="shared" si="364"/>
        <v>0,899524542739616+0,544442421297903i</v>
      </c>
      <c r="AA438" s="4">
        <f t="shared" si="379"/>
        <v>1.0514570619381651</v>
      </c>
      <c r="AB438" s="4">
        <f t="shared" si="380"/>
        <v>0.54427507913265927</v>
      </c>
      <c r="AC438" s="47" t="str">
        <f t="shared" si="381"/>
        <v>-0,181479616397576-0,501639062459693i</v>
      </c>
      <c r="AD438" s="20">
        <f t="shared" si="382"/>
        <v>-5.4580081346509068</v>
      </c>
      <c r="AE438" s="43">
        <f t="shared" si="383"/>
        <v>-109.88877086037203</v>
      </c>
      <c r="AF438" t="str">
        <f t="shared" si="365"/>
        <v>171,265703090588</v>
      </c>
      <c r="AG438" t="str">
        <f t="shared" si="366"/>
        <v>1+7861,9466542375i</v>
      </c>
      <c r="AH438">
        <f t="shared" si="384"/>
        <v>7861.9467178349805</v>
      </c>
      <c r="AI438">
        <f t="shared" si="385"/>
        <v>1.5706691318343371</v>
      </c>
      <c r="AJ438" t="str">
        <f t="shared" si="367"/>
        <v>1+19,9163552406413i</v>
      </c>
      <c r="AK438">
        <f t="shared" si="386"/>
        <v>19.941444432924612</v>
      </c>
      <c r="AL438">
        <f t="shared" si="387"/>
        <v>1.5206284668088774</v>
      </c>
      <c r="AM438" t="str">
        <f t="shared" si="368"/>
        <v>1-1,25195265387498i</v>
      </c>
      <c r="AN438">
        <f t="shared" si="388"/>
        <v>1.6023062901781935</v>
      </c>
      <c r="AO438">
        <f t="shared" si="389"/>
        <v>-0.89681667055679515</v>
      </c>
      <c r="AP438" s="41" t="str">
        <f t="shared" si="390"/>
        <v>0,406659708808229-0,564905289731978i</v>
      </c>
      <c r="AQ438">
        <f t="shared" si="391"/>
        <v>-3.1471508822947927</v>
      </c>
      <c r="AR438" s="43">
        <f t="shared" si="392"/>
        <v>-54.25092912986549</v>
      </c>
      <c r="AS438" t="str">
        <f t="shared" si="369"/>
        <v>-0,0000166666666666667</v>
      </c>
      <c r="AT438" t="str">
        <f t="shared" si="370"/>
        <v>0,0015156346338128i</v>
      </c>
      <c r="AU438">
        <f t="shared" si="393"/>
        <v>1.5156346338128001E-3</v>
      </c>
      <c r="AV438">
        <f t="shared" si="394"/>
        <v>1.5707963267948966</v>
      </c>
      <c r="AW438" t="str">
        <f t="shared" si="371"/>
        <v>1+4,75008998183494i</v>
      </c>
      <c r="AX438">
        <f t="shared" si="395"/>
        <v>4.8542100114775275</v>
      </c>
      <c r="AY438">
        <f t="shared" si="396"/>
        <v>1.3633039191481391</v>
      </c>
      <c r="AZ438" t="str">
        <f t="shared" si="372"/>
        <v>1+328,619861470581i</v>
      </c>
      <c r="BA438">
        <f t="shared" si="397"/>
        <v>328.62138298191098</v>
      </c>
      <c r="BB438">
        <f t="shared" si="398"/>
        <v>1.5677533064830216</v>
      </c>
      <c r="BC438" s="41" t="str">
        <f t="shared" si="399"/>
        <v>-0,151142819817337+0,728938487917155i</v>
      </c>
      <c r="BD438">
        <f t="shared" si="400"/>
        <v>-2.5633702756661947</v>
      </c>
      <c r="BE438" s="43">
        <f t="shared" si="401"/>
        <v>101.71408701832419</v>
      </c>
      <c r="BF438" s="41" t="str">
        <f t="shared" si="402"/>
        <v>0,393093360631246-0,0564683347339511i</v>
      </c>
      <c r="BG438" s="20">
        <f t="shared" si="403"/>
        <v>-8.0213784103171033</v>
      </c>
      <c r="BH438" s="43">
        <f t="shared" si="404"/>
        <v>-8.1746838420478323</v>
      </c>
      <c r="BI438" s="41" t="str">
        <f t="shared" si="409"/>
        <v>0,350317512618257+0,381811291655322i</v>
      </c>
      <c r="BJ438" s="20">
        <f t="shared" si="405"/>
        <v>-5.7105211579609918</v>
      </c>
      <c r="BK438" s="43">
        <f t="shared" si="410"/>
        <v>47.46315788845876</v>
      </c>
      <c r="BL438">
        <f t="shared" si="406"/>
        <v>-8.0213784103171033</v>
      </c>
      <c r="BM438" s="43">
        <f t="shared" si="407"/>
        <v>-8.1746838420478323</v>
      </c>
    </row>
    <row r="439" spans="14:65" x14ac:dyDescent="0.25">
      <c r="N439" s="9">
        <v>21</v>
      </c>
      <c r="O439" s="34">
        <f t="shared" si="408"/>
        <v>162181.00973589328</v>
      </c>
      <c r="P439" s="33" t="str">
        <f t="shared" si="360"/>
        <v>54,631621870174</v>
      </c>
      <c r="Q439" s="4" t="str">
        <f t="shared" si="361"/>
        <v>1+8122,81035368383i</v>
      </c>
      <c r="R439" s="4">
        <f t="shared" si="373"/>
        <v>8122.8104152388796</v>
      </c>
      <c r="S439" s="4">
        <f t="shared" si="374"/>
        <v>1.5706732166948936</v>
      </c>
      <c r="T439" s="4" t="str">
        <f t="shared" si="362"/>
        <v>1+20,3802667495222i</v>
      </c>
      <c r="U439" s="4">
        <f t="shared" si="375"/>
        <v>20.404785536282418</v>
      </c>
      <c r="V439" s="4">
        <f t="shared" si="376"/>
        <v>1.5217685763856197</v>
      </c>
      <c r="W439" t="str">
        <f t="shared" si="363"/>
        <v>1-4,05499935532848i</v>
      </c>
      <c r="X439" s="4">
        <f t="shared" si="377"/>
        <v>4.1764841400051296</v>
      </c>
      <c r="Y439" s="4">
        <f t="shared" si="378"/>
        <v>-1.3290115763594885</v>
      </c>
      <c r="Z439" t="str">
        <f t="shared" si="364"/>
        <v>0,894789280324185+0,557124114414508i</v>
      </c>
      <c r="AA439" s="4">
        <f t="shared" si="379"/>
        <v>1.0540565141609926</v>
      </c>
      <c r="AB439" s="4">
        <f t="shared" si="380"/>
        <v>0.55689440977101146</v>
      </c>
      <c r="AC439" s="47" t="str">
        <f t="shared" si="381"/>
        <v>-0,193598210657712-0,50814131742707i</v>
      </c>
      <c r="AD439" s="20">
        <f t="shared" si="382"/>
        <v>-5.291664975602755</v>
      </c>
      <c r="AE439" s="43">
        <f t="shared" si="383"/>
        <v>-110.85648305206198</v>
      </c>
      <c r="AF439" t="str">
        <f t="shared" si="365"/>
        <v>171,265703090588</v>
      </c>
      <c r="AG439" t="str">
        <f t="shared" si="366"/>
        <v>1+8045,07491696633i</v>
      </c>
      <c r="AH439">
        <f t="shared" si="384"/>
        <v>8045.0749791161561</v>
      </c>
      <c r="AI439">
        <f t="shared" si="385"/>
        <v>1.5706720271450896</v>
      </c>
      <c r="AJ439" t="str">
        <f t="shared" si="367"/>
        <v>1+20,3802667495222i</v>
      </c>
      <c r="AK439">
        <f t="shared" si="386"/>
        <v>20.404785536282418</v>
      </c>
      <c r="AL439">
        <f t="shared" si="387"/>
        <v>1.5217685763856197</v>
      </c>
      <c r="AM439" t="str">
        <f t="shared" si="368"/>
        <v>1-1,28111437737755i</v>
      </c>
      <c r="AN439">
        <f t="shared" si="388"/>
        <v>1.6251935416815648</v>
      </c>
      <c r="AO439">
        <f t="shared" si="389"/>
        <v>-0.90801547446518205</v>
      </c>
      <c r="AP439" s="41" t="str">
        <f t="shared" si="390"/>
        <v>0,406659584396353-0,577062721422791i</v>
      </c>
      <c r="AQ439">
        <f t="shared" si="391"/>
        <v>-3.0244514383017385</v>
      </c>
      <c r="AR439" s="43">
        <f t="shared" si="392"/>
        <v>-54.827415751567358</v>
      </c>
      <c r="AS439" t="str">
        <f t="shared" si="369"/>
        <v>-0,0000166666666666667</v>
      </c>
      <c r="AT439" t="str">
        <f t="shared" si="370"/>
        <v>0,00155093829963865i</v>
      </c>
      <c r="AU439">
        <f t="shared" si="393"/>
        <v>1.55093829963865E-3</v>
      </c>
      <c r="AV439">
        <f t="shared" si="394"/>
        <v>1.5707963267948966</v>
      </c>
      <c r="AW439" t="str">
        <f t="shared" si="371"/>
        <v>1+4,86073379111469i</v>
      </c>
      <c r="AX439">
        <f t="shared" si="395"/>
        <v>4.9625329206045761</v>
      </c>
      <c r="AY439">
        <f t="shared" si="396"/>
        <v>1.3678970274300399</v>
      </c>
      <c r="AZ439" t="str">
        <f t="shared" si="372"/>
        <v>1+336,274401367116i</v>
      </c>
      <c r="BA439">
        <f t="shared" si="397"/>
        <v>336.27588824477471</v>
      </c>
      <c r="BB439">
        <f t="shared" si="398"/>
        <v>1.5678225736688873</v>
      </c>
      <c r="BC439" s="41" t="str">
        <f t="shared" si="399"/>
        <v>-0,144616498498663+0,713688483925858i</v>
      </c>
      <c r="BD439">
        <f t="shared" si="400"/>
        <v>-2.7550688695250223</v>
      </c>
      <c r="BE439" s="43">
        <f t="shared" si="401"/>
        <v>101.45489001633354</v>
      </c>
      <c r="BF439" s="41" t="str">
        <f t="shared" si="402"/>
        <v>0,390652101795539-0,0646831953862608i</v>
      </c>
      <c r="BG439" s="20">
        <f t="shared" si="403"/>
        <v>-8.0467338451277683</v>
      </c>
      <c r="BH439" s="43">
        <f t="shared" si="404"/>
        <v>-9.4015930357284319</v>
      </c>
      <c r="BI439" s="41" t="str">
        <f t="shared" si="409"/>
        <v>0,353033333606039+0,373681052448026i</v>
      </c>
      <c r="BJ439" s="20">
        <f t="shared" si="405"/>
        <v>-5.7795203078267656</v>
      </c>
      <c r="BK439" s="43">
        <f t="shared" si="410"/>
        <v>46.627474264766199</v>
      </c>
      <c r="BL439">
        <f t="shared" si="406"/>
        <v>-8.0467338451277683</v>
      </c>
      <c r="BM439" s="43">
        <f t="shared" si="407"/>
        <v>-9.4015930357284319</v>
      </c>
    </row>
    <row r="440" spans="14:65" x14ac:dyDescent="0.25">
      <c r="N440" s="9">
        <v>22</v>
      </c>
      <c r="O440" s="34">
        <f t="shared" si="408"/>
        <v>165958.69074375604</v>
      </c>
      <c r="P440" s="33" t="str">
        <f t="shared" si="360"/>
        <v>54,631621870174</v>
      </c>
      <c r="Q440" s="4" t="str">
        <f t="shared" si="361"/>
        <v>1+8312,01491255025i</v>
      </c>
      <c r="R440" s="4">
        <f t="shared" si="373"/>
        <v>8312.0149727041371</v>
      </c>
      <c r="S440" s="4">
        <f t="shared" si="374"/>
        <v>1.5706760190228706</v>
      </c>
      <c r="T440" s="4" t="str">
        <f t="shared" si="362"/>
        <v>1+20,8549841455986i</v>
      </c>
      <c r="U440" s="4">
        <f t="shared" si="375"/>
        <v>20.878945464586305</v>
      </c>
      <c r="V440" s="4">
        <f t="shared" si="376"/>
        <v>1.5228828571725734</v>
      </c>
      <c r="W440" t="str">
        <f t="shared" si="363"/>
        <v>1-4,14945242401062i</v>
      </c>
      <c r="X440" s="4">
        <f t="shared" si="377"/>
        <v>4.2682496903446978</v>
      </c>
      <c r="Y440" s="4">
        <f t="shared" si="378"/>
        <v>-1.334310131403414</v>
      </c>
      <c r="Z440" t="str">
        <f t="shared" si="364"/>
        <v>0,889830851866473+0,570101202110989i</v>
      </c>
      <c r="AA440" s="4">
        <f t="shared" si="379"/>
        <v>1.0567943629589476</v>
      </c>
      <c r="AB440" s="4">
        <f t="shared" si="380"/>
        <v>0.56979893191158637</v>
      </c>
      <c r="AC440" s="47" t="str">
        <f t="shared" si="381"/>
        <v>-0,206151747064907-0,514484663967871i</v>
      </c>
      <c r="AD440" s="20">
        <f t="shared" si="382"/>
        <v>-5.1258866743111584</v>
      </c>
      <c r="AE440" s="43">
        <f t="shared" si="383"/>
        <v>-111.83575952416568</v>
      </c>
      <c r="AF440" t="str">
        <f t="shared" si="365"/>
        <v>171,265703090588</v>
      </c>
      <c r="AG440" t="str">
        <f t="shared" si="366"/>
        <v>1+8232,46878490534i</v>
      </c>
      <c r="AH440">
        <f t="shared" si="384"/>
        <v>8232.468845640462</v>
      </c>
      <c r="AI440">
        <f t="shared" si="385"/>
        <v>1.5706748565505253</v>
      </c>
      <c r="AJ440" t="str">
        <f t="shared" si="367"/>
        <v>1+20,8549841455986i</v>
      </c>
      <c r="AK440">
        <f t="shared" si="386"/>
        <v>20.878945464586305</v>
      </c>
      <c r="AL440">
        <f t="shared" si="387"/>
        <v>1.5228828571725734</v>
      </c>
      <c r="AM440" t="str">
        <f t="shared" si="368"/>
        <v>1-1,31095536468058i</v>
      </c>
      <c r="AN440">
        <f t="shared" si="388"/>
        <v>1.6488189616160995</v>
      </c>
      <c r="AO440">
        <f t="shared" si="389"/>
        <v>-0.91915185605381522</v>
      </c>
      <c r="AP440" s="41" t="str">
        <f t="shared" si="390"/>
        <v>0,406659465583933-0,589526119405448i</v>
      </c>
      <c r="AQ440">
        <f t="shared" si="391"/>
        <v>-2.899563218559754</v>
      </c>
      <c r="AR440" s="43">
        <f t="shared" si="392"/>
        <v>-55.401801942348293</v>
      </c>
      <c r="AS440" t="str">
        <f t="shared" si="369"/>
        <v>-0,0000166666666666667</v>
      </c>
      <c r="AT440" t="str">
        <f t="shared" si="370"/>
        <v>0,00158706429348005i</v>
      </c>
      <c r="AU440">
        <f t="shared" si="393"/>
        <v>1.58706429348005E-3</v>
      </c>
      <c r="AV440">
        <f t="shared" si="394"/>
        <v>1.5707963267948966</v>
      </c>
      <c r="AW440" t="str">
        <f t="shared" si="371"/>
        <v>1+4,97395482578994i</v>
      </c>
      <c r="AX440">
        <f t="shared" si="395"/>
        <v>5.0734826903222041</v>
      </c>
      <c r="AY440">
        <f t="shared" si="396"/>
        <v>1.3723939871687258</v>
      </c>
      <c r="AZ440" t="str">
        <f t="shared" si="372"/>
        <v>1+344,107238402377i</v>
      </c>
      <c r="BA440">
        <f t="shared" si="397"/>
        <v>344.10869143471268</v>
      </c>
      <c r="BB440">
        <f t="shared" si="398"/>
        <v>1.56789026416868</v>
      </c>
      <c r="BC440" s="41" t="str">
        <f t="shared" si="399"/>
        <v>-0,138360549357136+0,698700692107203i</v>
      </c>
      <c r="BD440">
        <f t="shared" si="400"/>
        <v>-2.9471262415128283</v>
      </c>
      <c r="BE440" s="43">
        <f t="shared" si="401"/>
        <v>101.2011115826178</v>
      </c>
      <c r="BF440" s="41" t="str">
        <f t="shared" si="402"/>
        <v>0,387994059767727-0,0728539876109434i</v>
      </c>
      <c r="BG440" s="20">
        <f t="shared" si="403"/>
        <v>-8.0730129158239894</v>
      </c>
      <c r="BH440" s="43">
        <f t="shared" si="404"/>
        <v>-10.634647941547888</v>
      </c>
      <c r="BI440" s="41" t="str">
        <f t="shared" si="409"/>
        <v>0,355636680584388+0,365700407796758i</v>
      </c>
      <c r="BJ440" s="20">
        <f t="shared" si="405"/>
        <v>-5.8466894600725761</v>
      </c>
      <c r="BK440" s="43">
        <f t="shared" si="410"/>
        <v>45.799309640269513</v>
      </c>
      <c r="BL440">
        <f t="shared" si="406"/>
        <v>-8.0730129158239894</v>
      </c>
      <c r="BM440" s="43">
        <f t="shared" si="407"/>
        <v>-10.634647941547888</v>
      </c>
    </row>
    <row r="441" spans="14:65" x14ac:dyDescent="0.25">
      <c r="N441" s="9">
        <v>23</v>
      </c>
      <c r="O441" s="34">
        <f t="shared" si="408"/>
        <v>169824.36524617471</v>
      </c>
      <c r="P441" s="33" t="str">
        <f t="shared" si="360"/>
        <v>54,631621870174</v>
      </c>
      <c r="Q441" s="4" t="str">
        <f t="shared" si="361"/>
        <v>1+8505,62661174576i</v>
      </c>
      <c r="R441" s="4">
        <f t="shared" si="373"/>
        <v>8505.6266705303751</v>
      </c>
      <c r="S441" s="4">
        <f t="shared" si="374"/>
        <v>1.5706787575620771</v>
      </c>
      <c r="T441" s="4" t="str">
        <f t="shared" si="362"/>
        <v>1+21,3407591303172i</v>
      </c>
      <c r="U441" s="4">
        <f t="shared" si="375"/>
        <v>21.364175627863972</v>
      </c>
      <c r="V441" s="4">
        <f t="shared" si="376"/>
        <v>1.5239718889017493</v>
      </c>
      <c r="W441" t="str">
        <f t="shared" si="363"/>
        <v>1-4,24610558729244i</v>
      </c>
      <c r="X441" s="4">
        <f t="shared" si="377"/>
        <v>4.3622715021461094</v>
      </c>
      <c r="Y441" s="4">
        <f t="shared" si="378"/>
        <v>-1.339501185004154</v>
      </c>
      <c r="Z441" t="str">
        <f t="shared" si="364"/>
        <v>0,884638739874936+0,583380565011007i</v>
      </c>
      <c r="AA441" s="4">
        <f t="shared" si="379"/>
        <v>1.0596785284793102</v>
      </c>
      <c r="AB441" s="4">
        <f t="shared" si="380"/>
        <v>0.58299416578591912</v>
      </c>
      <c r="AC441" s="47" t="str">
        <f t="shared" si="381"/>
        <v>-0,21914812426814-0,520646459428436i</v>
      </c>
      <c r="AD441" s="20">
        <f t="shared" si="382"/>
        <v>-4.9607505209529936</v>
      </c>
      <c r="AE441" s="43">
        <f t="shared" si="383"/>
        <v>-112.82697618230247</v>
      </c>
      <c r="AF441" t="str">
        <f t="shared" si="365"/>
        <v>171,265703090588</v>
      </c>
      <c r="AG441" t="str">
        <f t="shared" si="366"/>
        <v>1+8424,22761676366i</v>
      </c>
      <c r="AH441">
        <f t="shared" si="384"/>
        <v>8424.2276761162811</v>
      </c>
      <c r="AI441">
        <f t="shared" si="385"/>
        <v>1.570677621550832</v>
      </c>
      <c r="AJ441" t="str">
        <f t="shared" si="367"/>
        <v>1+21,3407591303172i</v>
      </c>
      <c r="AK441">
        <f t="shared" si="386"/>
        <v>21.364175627863972</v>
      </c>
      <c r="AL441">
        <f t="shared" si="387"/>
        <v>1.5239718889017493</v>
      </c>
      <c r="AM441" t="str">
        <f t="shared" si="368"/>
        <v>1-1,34149143787049i</v>
      </c>
      <c r="AN441">
        <f t="shared" si="388"/>
        <v>1.673200310148141</v>
      </c>
      <c r="AO441">
        <f t="shared" si="389"/>
        <v>-0.93022067150203647</v>
      </c>
      <c r="AP441" s="41" t="str">
        <f t="shared" si="390"/>
        <v>0,406659352118954-0,602302091938606i</v>
      </c>
      <c r="AQ441">
        <f t="shared" si="391"/>
        <v>-2.7725123605693818</v>
      </c>
      <c r="AR441" s="43">
        <f t="shared" si="392"/>
        <v>-55.973759852750824</v>
      </c>
      <c r="AS441" t="str">
        <f t="shared" si="369"/>
        <v>-0,0000166666666666667</v>
      </c>
      <c r="AT441" t="str">
        <f t="shared" si="370"/>
        <v>0,00162403176981715i</v>
      </c>
      <c r="AU441">
        <f t="shared" si="393"/>
        <v>1.6240317698171501E-3</v>
      </c>
      <c r="AV441">
        <f t="shared" si="394"/>
        <v>1.5707963267948966</v>
      </c>
      <c r="AW441" t="str">
        <f t="shared" si="371"/>
        <v>1+5,08981311715187i</v>
      </c>
      <c r="AX441">
        <f t="shared" si="395"/>
        <v>5.1871184262103789</v>
      </c>
      <c r="AY441">
        <f t="shared" si="396"/>
        <v>1.3767964548440004</v>
      </c>
      <c r="AZ441" t="str">
        <f t="shared" si="372"/>
        <v>1+352,122525650234i</v>
      </c>
      <c r="BA441">
        <f t="shared" si="397"/>
        <v>352.12394560765068</v>
      </c>
      <c r="BB441">
        <f t="shared" si="398"/>
        <v>1.5679564138703159</v>
      </c>
      <c r="BC441" s="41" t="str">
        <f t="shared" si="399"/>
        <v>-0,13236474181309+0,683974324146003i</v>
      </c>
      <c r="BD441">
        <f t="shared" si="400"/>
        <v>-3.1395275006421706</v>
      </c>
      <c r="BE441" s="43">
        <f t="shared" si="401"/>
        <v>100.95265886410162</v>
      </c>
      <c r="BF441" s="41" t="str">
        <f t="shared" si="402"/>
        <v>0,385116295094149-0,080976456006021i</v>
      </c>
      <c r="BG441" s="20">
        <f t="shared" si="403"/>
        <v>-8.1002780215951695</v>
      </c>
      <c r="BH441" s="43">
        <f t="shared" si="404"/>
        <v>-11.874317318200852</v>
      </c>
      <c r="BI441" s="41" t="str">
        <f t="shared" si="409"/>
        <v>0,358131806116328+0,357868116416151i</v>
      </c>
      <c r="BJ441" s="20">
        <f t="shared" si="405"/>
        <v>-5.9120398612115466</v>
      </c>
      <c r="BK441" s="43">
        <f t="shared" si="410"/>
        <v>44.978899011350848</v>
      </c>
      <c r="BL441">
        <f t="shared" si="406"/>
        <v>-8.1002780215951695</v>
      </c>
      <c r="BM441" s="43">
        <f t="shared" si="407"/>
        <v>-11.874317318200852</v>
      </c>
    </row>
    <row r="442" spans="14:65" x14ac:dyDescent="0.25">
      <c r="N442" s="9">
        <v>24</v>
      </c>
      <c r="O442" s="34">
        <f t="shared" si="408"/>
        <v>173780.0828749378</v>
      </c>
      <c r="P442" s="33" t="str">
        <f t="shared" si="360"/>
        <v>54,631621870174</v>
      </c>
      <c r="Q442" s="4" t="str">
        <f t="shared" si="361"/>
        <v>1+8703,74810675617i</v>
      </c>
      <c r="R442" s="4">
        <f t="shared" si="373"/>
        <v>8703.7481642026833</v>
      </c>
      <c r="S442" s="4">
        <f t="shared" si="374"/>
        <v>1.5706814337645223</v>
      </c>
      <c r="T442" s="4" t="str">
        <f t="shared" si="362"/>
        <v>1+21,8378492680052i</v>
      </c>
      <c r="U442" s="4">
        <f t="shared" si="375"/>
        <v>21.860733305452385</v>
      </c>
      <c r="V442" s="4">
        <f t="shared" si="376"/>
        <v>1.5250362386536642</v>
      </c>
      <c r="W442" t="str">
        <f t="shared" si="363"/>
        <v>1-4,34501009196053i</v>
      </c>
      <c r="X442" s="4">
        <f t="shared" si="377"/>
        <v>4.4585998586146811</v>
      </c>
      <c r="Y442" s="4">
        <f t="shared" si="378"/>
        <v>-1.3445863699669047</v>
      </c>
      <c r="Z442" t="str">
        <f t="shared" si="364"/>
        <v>0,879201931183919+0,596969244008553i</v>
      </c>
      <c r="AA442" s="4">
        <f t="shared" si="379"/>
        <v>1.0627174196792277</v>
      </c>
      <c r="AB442" s="4">
        <f t="shared" si="380"/>
        <v>0.59648562960371676</v>
      </c>
      <c r="AC442" s="47" t="str">
        <f t="shared" si="381"/>
        <v>-0,232594510167392-0,5266026967587i</v>
      </c>
      <c r="AD442" s="20">
        <f t="shared" si="382"/>
        <v>-4.7963359662736735</v>
      </c>
      <c r="AE442" s="43">
        <f t="shared" si="383"/>
        <v>-113.83051034131951</v>
      </c>
      <c r="AF442" t="str">
        <f t="shared" si="365"/>
        <v>171,265703090588</v>
      </c>
      <c r="AG442" t="str">
        <f t="shared" si="366"/>
        <v>1+8620,45308561228i</v>
      </c>
      <c r="AH442">
        <f t="shared" si="384"/>
        <v>8620.4531436138714</v>
      </c>
      <c r="AI442">
        <f t="shared" si="385"/>
        <v>1.5706803236120497</v>
      </c>
      <c r="AJ442" t="str">
        <f t="shared" si="367"/>
        <v>1+21,8378492680052i</v>
      </c>
      <c r="AK442">
        <f t="shared" si="386"/>
        <v>21.860733305452385</v>
      </c>
      <c r="AL442">
        <f t="shared" si="387"/>
        <v>1.5250362386536642</v>
      </c>
      <c r="AM442" t="str">
        <f t="shared" si="368"/>
        <v>1-1,37273878757751i</v>
      </c>
      <c r="AN442">
        <f t="shared" si="388"/>
        <v>1.6983556102653448</v>
      </c>
      <c r="AO442">
        <f t="shared" si="389"/>
        <v>-0.94121694096422037</v>
      </c>
      <c r="AP442" s="41" t="str">
        <f t="shared" si="390"/>
        <v>0,406659243760739-0,615397413012115i</v>
      </c>
      <c r="AQ442">
        <f t="shared" si="391"/>
        <v>-2.6433267518982224</v>
      </c>
      <c r="AR442" s="43">
        <f t="shared" si="392"/>
        <v>-56.542971751315882</v>
      </c>
      <c r="AS442" t="str">
        <f t="shared" si="369"/>
        <v>-0,0000166666666666667</v>
      </c>
      <c r="AT442" t="str">
        <f t="shared" si="370"/>
        <v>0,0016618603292952i</v>
      </c>
      <c r="AU442">
        <f t="shared" si="393"/>
        <v>1.6618603292952001E-3</v>
      </c>
      <c r="AV442">
        <f t="shared" si="394"/>
        <v>1.5707963267948966</v>
      </c>
      <c r="AW442" t="str">
        <f t="shared" si="371"/>
        <v>1+5,20837009480019i</v>
      </c>
      <c r="AX442">
        <f t="shared" si="395"/>
        <v>5.3035006405589264</v>
      </c>
      <c r="AY442">
        <f t="shared" si="396"/>
        <v>1.3811060817573175</v>
      </c>
      <c r="AZ442" t="str">
        <f t="shared" si="372"/>
        <v>1+360,324512922086i</v>
      </c>
      <c r="BA442">
        <f t="shared" si="397"/>
        <v>360.32590055745163</v>
      </c>
      <c r="BB442">
        <f t="shared" si="398"/>
        <v>1.5680210578449256</v>
      </c>
      <c r="BC442" s="41" t="str">
        <f t="shared" si="399"/>
        <v>-0,126619149603457+0,669508313651591i</v>
      </c>
      <c r="BD442">
        <f t="shared" si="400"/>
        <v>-3.3322583217300616</v>
      </c>
      <c r="BE442" s="43">
        <f t="shared" si="401"/>
        <v>100.70943925760862</v>
      </c>
      <c r="BF442" s="41" t="str">
        <f t="shared" si="402"/>
        <v>0,382015802551125-0,0890459726243147i</v>
      </c>
      <c r="BG442" s="20">
        <f t="shared" si="403"/>
        <v>-8.1285942880037396</v>
      </c>
      <c r="BH442" s="43">
        <f t="shared" si="404"/>
        <v>-13.121071083710889</v>
      </c>
      <c r="BI442" s="41" t="str">
        <f t="shared" si="409"/>
        <v>0,360522836587923+0,350182841624845i</v>
      </c>
      <c r="BJ442" s="20">
        <f t="shared" si="405"/>
        <v>-5.9755850736282889</v>
      </c>
      <c r="BK442" s="43">
        <f t="shared" si="410"/>
        <v>44.166467506292747</v>
      </c>
      <c r="BL442">
        <f t="shared" si="406"/>
        <v>-8.1285942880037396</v>
      </c>
      <c r="BM442" s="43">
        <f t="shared" si="407"/>
        <v>-13.121071083710889</v>
      </c>
    </row>
    <row r="443" spans="14:65" x14ac:dyDescent="0.25">
      <c r="N443" s="9">
        <v>25</v>
      </c>
      <c r="O443" s="34">
        <f t="shared" si="408"/>
        <v>177827.94100389251</v>
      </c>
      <c r="P443" s="33" t="str">
        <f t="shared" si="360"/>
        <v>54,631621870174</v>
      </c>
      <c r="Q443" s="4" t="str">
        <f t="shared" si="361"/>
        <v>1+8906,4844442205i</v>
      </c>
      <c r="R443" s="4">
        <f t="shared" si="373"/>
        <v>8906.4845003593709</v>
      </c>
      <c r="S443" s="4">
        <f t="shared" si="374"/>
        <v>1.5706840490491643</v>
      </c>
      <c r="T443" s="4" t="str">
        <f t="shared" si="362"/>
        <v>1+22,3465181224332i</v>
      </c>
      <c r="U443" s="4">
        <f t="shared" si="375"/>
        <v>22.368881782427913</v>
      </c>
      <c r="V443" s="4">
        <f t="shared" si="376"/>
        <v>1.5260764611092503</v>
      </c>
      <c r="W443" t="str">
        <f t="shared" si="363"/>
        <v>1-4,44621837849238i</v>
      </c>
      <c r="X443" s="4">
        <f t="shared" si="377"/>
        <v>4.5572862395556637</v>
      </c>
      <c r="Y443" s="4">
        <f t="shared" si="378"/>
        <v>-1.349567330069098</v>
      </c>
      <c r="Z443" t="str">
        <f t="shared" si="364"/>
        <v>0,873508893593263+0,610874444001094i</v>
      </c>
      <c r="AA443" s="4">
        <f t="shared" si="379"/>
        <v>1.0659199658136498</v>
      </c>
      <c r="AB443" s="4">
        <f t="shared" si="380"/>
        <v>0.61027882574994841</v>
      </c>
      <c r="AC443" s="47" t="str">
        <f t="shared" si="381"/>
        <v>-0,246497222933501-0,532327974323591i</v>
      </c>
      <c r="AD443" s="20">
        <f t="shared" si="382"/>
        <v>-4.6327247662874784</v>
      </c>
      <c r="AE443" s="43">
        <f t="shared" si="383"/>
        <v>-114.84673974658581</v>
      </c>
      <c r="AF443" t="str">
        <f t="shared" si="365"/>
        <v>171,265703090588</v>
      </c>
      <c r="AG443" t="str">
        <f t="shared" si="366"/>
        <v>1+8821,24923279209i</v>
      </c>
      <c r="AH443">
        <f t="shared" si="384"/>
        <v>8821.2492894734041</v>
      </c>
      <c r="AI443">
        <f t="shared" si="385"/>
        <v>1.5706829641668463</v>
      </c>
      <c r="AJ443" t="str">
        <f t="shared" si="367"/>
        <v>1+22,3465181224332i</v>
      </c>
      <c r="AK443">
        <f t="shared" si="386"/>
        <v>22.368881782427913</v>
      </c>
      <c r="AL443">
        <f t="shared" si="387"/>
        <v>1.5260764611092503</v>
      </c>
      <c r="AM443" t="str">
        <f t="shared" si="368"/>
        <v>1-1,40471398156005i</v>
      </c>
      <c r="AN443">
        <f t="shared" si="388"/>
        <v>1.7243031548977368</v>
      </c>
      <c r="AO443">
        <f t="shared" si="389"/>
        <v>-0.9521358579593534</v>
      </c>
      <c r="AP443" s="41" t="str">
        <f t="shared" si="390"/>
        <v>0,406659140279448-0,628819025938618i</v>
      </c>
      <c r="AQ443">
        <f t="shared" si="391"/>
        <v>-2.5120359309296507</v>
      </c>
      <c r="AR443" s="43">
        <f t="shared" si="392"/>
        <v>-57.109130548176225</v>
      </c>
      <c r="AS443" t="str">
        <f t="shared" si="369"/>
        <v>-0,0000166666666666667</v>
      </c>
      <c r="AT443" t="str">
        <f t="shared" si="370"/>
        <v>0,00170057002911716i</v>
      </c>
      <c r="AU443">
        <f t="shared" si="393"/>
        <v>1.7005700291171601E-3</v>
      </c>
      <c r="AV443">
        <f t="shared" si="394"/>
        <v>1.5707963267948966</v>
      </c>
      <c r="AW443" t="str">
        <f t="shared" si="371"/>
        <v>1+5,3296886192137i</v>
      </c>
      <c r="AX443">
        <f t="shared" si="395"/>
        <v>5.4226912854943192</v>
      </c>
      <c r="AY443">
        <f t="shared" si="396"/>
        <v>1.3853245122839384</v>
      </c>
      <c r="AZ443" t="str">
        <f t="shared" si="372"/>
        <v>1+368,717549020148i</v>
      </c>
      <c r="BA443">
        <f t="shared" si="397"/>
        <v>368.71890506919397</v>
      </c>
      <c r="BB443">
        <f t="shared" si="398"/>
        <v>1.5680842303654374</v>
      </c>
      <c r="BC443" s="41" t="str">
        <f t="shared" si="399"/>
        <v>-0,121114149083222+0,655301337299998i</v>
      </c>
      <c r="BD443">
        <f t="shared" si="400"/>
        <v>-3.5253049283601361</v>
      </c>
      <c r="BE443" s="43">
        <f t="shared" si="401"/>
        <v>100.47136051107066</v>
      </c>
      <c r="BF443" s="41" t="str">
        <f t="shared" si="402"/>
        <v>0,378689534863416-0,097057510185662i</v>
      </c>
      <c r="BG443" s="20">
        <f t="shared" si="403"/>
        <v>-8.1580296946476256</v>
      </c>
      <c r="BH443" s="43">
        <f t="shared" si="404"/>
        <v>-14.375379235515187</v>
      </c>
      <c r="BI443" s="41" t="str">
        <f t="shared" si="409"/>
        <v>0,362813772875399+0,342643159704286i</v>
      </c>
      <c r="BJ443" s="20">
        <f t="shared" si="405"/>
        <v>-6.0373408592897837</v>
      </c>
      <c r="BK443" s="43">
        <f t="shared" si="410"/>
        <v>43.362229962894396</v>
      </c>
      <c r="BL443">
        <f t="shared" si="406"/>
        <v>-8.1580296946476256</v>
      </c>
      <c r="BM443" s="43">
        <f t="shared" si="407"/>
        <v>-14.375379235515187</v>
      </c>
    </row>
    <row r="444" spans="14:65" x14ac:dyDescent="0.25">
      <c r="N444" s="9">
        <v>26</v>
      </c>
      <c r="O444" s="34">
        <f t="shared" si="408"/>
        <v>181970.08586099857</v>
      </c>
      <c r="P444" s="33" t="str">
        <f t="shared" si="360"/>
        <v>54,631621870174</v>
      </c>
      <c r="Q444" s="4" t="str">
        <f t="shared" si="361"/>
        <v>1+9113,94311762832i</v>
      </c>
      <c r="R444" s="4">
        <f t="shared" si="373"/>
        <v>9113.9431724893166</v>
      </c>
      <c r="S444" s="4">
        <f t="shared" si="374"/>
        <v>1.5706866048026611</v>
      </c>
      <c r="T444" s="4" t="str">
        <f t="shared" si="362"/>
        <v>1+22,8670353965606i</v>
      </c>
      <c r="U444" s="4">
        <f t="shared" si="375"/>
        <v>22.888890489221087</v>
      </c>
      <c r="V444" s="4">
        <f t="shared" si="376"/>
        <v>1.5270930987984097</v>
      </c>
      <c r="W444" t="str">
        <f t="shared" si="363"/>
        <v>1-4,54978410886112i</v>
      </c>
      <c r="X444" s="4">
        <f t="shared" si="377"/>
        <v>4.6583833501811736</v>
      </c>
      <c r="Y444" s="4">
        <f t="shared" si="378"/>
        <v>-1.3544457172169733</v>
      </c>
      <c r="Z444" t="str">
        <f t="shared" si="364"/>
        <v>0,867547551406964+0,625103537709717i</v>
      </c>
      <c r="AA444" s="4">
        <f t="shared" si="379"/>
        <v>1.0692956498599546</v>
      </c>
      <c r="AB444" s="4">
        <f t="shared" si="380"/>
        <v>0.62437922541601054</v>
      </c>
      <c r="AC444" s="47" t="str">
        <f t="shared" si="381"/>
        <v>-0,260861602210658-0,53779547211329i</v>
      </c>
      <c r="AD444" s="20">
        <f t="shared" si="382"/>
        <v>-4.47000112828478</v>
      </c>
      <c r="AE444" s="43">
        <f t="shared" si="383"/>
        <v>-115.87604151630897</v>
      </c>
      <c r="AF444" t="str">
        <f t="shared" si="365"/>
        <v>171,265703090588</v>
      </c>
      <c r="AG444" t="str">
        <f t="shared" si="366"/>
        <v>1+9026,72252307805i</v>
      </c>
      <c r="AH444">
        <f t="shared" si="384"/>
        <v>9026.72257846914</v>
      </c>
      <c r="AI444">
        <f t="shared" si="385"/>
        <v>1.5706855446152792</v>
      </c>
      <c r="AJ444" t="str">
        <f t="shared" si="367"/>
        <v>1+22,8670353965606i</v>
      </c>
      <c r="AK444">
        <f t="shared" si="386"/>
        <v>22.888890489221087</v>
      </c>
      <c r="AL444">
        <f t="shared" si="387"/>
        <v>1.5270930987984097</v>
      </c>
      <c r="AM444" t="str">
        <f t="shared" si="368"/>
        <v>1-1,43743397348919i</v>
      </c>
      <c r="AN444">
        <f t="shared" si="388"/>
        <v>1.751061514665011</v>
      </c>
      <c r="AO444">
        <f t="shared" si="389"/>
        <v>-0.9629727978019994</v>
      </c>
      <c r="AP444" s="41" t="str">
        <f t="shared" si="390"/>
        <v>0,406659041455581-0,642574047035017i</v>
      </c>
      <c r="AQ444">
        <f t="shared" si="391"/>
        <v>-2.3786709833609714</v>
      </c>
      <c r="AR444" s="43">
        <f t="shared" si="392"/>
        <v>-57.671940263918728</v>
      </c>
      <c r="AS444" t="str">
        <f t="shared" si="369"/>
        <v>-0,0000166666666666667</v>
      </c>
      <c r="AT444" t="str">
        <f t="shared" si="370"/>
        <v>0,00174018139367827i</v>
      </c>
      <c r="AU444">
        <f t="shared" si="393"/>
        <v>1.74018139367827E-3</v>
      </c>
      <c r="AV444">
        <f t="shared" si="394"/>
        <v>1.5707963267948966</v>
      </c>
      <c r="AW444" t="str">
        <f t="shared" si="371"/>
        <v>1+5,45383301507982i</v>
      </c>
      <c r="AX444">
        <f t="shared" si="395"/>
        <v>5.5447537868127776</v>
      </c>
      <c r="AY444">
        <f t="shared" si="396"/>
        <v>1.3894533822589918</v>
      </c>
      <c r="AZ444" t="str">
        <f t="shared" si="372"/>
        <v>1+377,30608404325i</v>
      </c>
      <c r="BA444">
        <f t="shared" si="397"/>
        <v>377.30740922496085</v>
      </c>
      <c r="BB444">
        <f t="shared" si="398"/>
        <v>1.5681459649247402</v>
      </c>
      <c r="BC444" s="41" t="str">
        <f t="shared" si="399"/>
        <v>-0,115840416753353+0,641351834979488i</v>
      </c>
      <c r="BD444">
        <f t="shared" si="400"/>
        <v>-3.7186540759615765</v>
      </c>
      <c r="BE444" s="43">
        <f t="shared" si="401"/>
        <v>100.23833081703999</v>
      </c>
      <c r="BF444" s="41" t="str">
        <f t="shared" si="402"/>
        <v>0,375134429598549-0,105005615635825i</v>
      </c>
      <c r="BG444" s="20">
        <f t="shared" si="403"/>
        <v>-8.1886552042463503</v>
      </c>
      <c r="BH444" s="43">
        <f t="shared" si="404"/>
        <v>-15.637710699268951</v>
      </c>
      <c r="BI444" s="41" t="str">
        <f t="shared" si="409"/>
        <v>0,36500849133737+0,335247567851962i</v>
      </c>
      <c r="BJ444" s="20">
        <f t="shared" si="405"/>
        <v>-6.0973250593225456</v>
      </c>
      <c r="BK444" s="43">
        <f t="shared" si="410"/>
        <v>42.566390553121337</v>
      </c>
      <c r="BL444">
        <f t="shared" si="406"/>
        <v>-8.1886552042463503</v>
      </c>
      <c r="BM444" s="43">
        <f t="shared" si="407"/>
        <v>-15.637710699268951</v>
      </c>
    </row>
    <row r="445" spans="14:65" x14ac:dyDescent="0.25">
      <c r="N445" s="9">
        <v>27</v>
      </c>
      <c r="O445" s="34">
        <f t="shared" si="408"/>
        <v>186208.71366628664</v>
      </c>
      <c r="P445" s="33" t="str">
        <f t="shared" si="360"/>
        <v>54,631621870174</v>
      </c>
      <c r="Q445" s="4" t="str">
        <f t="shared" si="361"/>
        <v>1+9326,23412431446i</v>
      </c>
      <c r="R445" s="4">
        <f t="shared" si="373"/>
        <v>9326.2341779266681</v>
      </c>
      <c r="S445" s="4">
        <f t="shared" si="374"/>
        <v>1.5706891023801073</v>
      </c>
      <c r="T445" s="4" t="str">
        <f t="shared" si="362"/>
        <v>1+23,3996770755364i</v>
      </c>
      <c r="U445" s="4">
        <f t="shared" si="375"/>
        <v>23.42103514448889</v>
      </c>
      <c r="V445" s="4">
        <f t="shared" si="376"/>
        <v>1.5280866823451325</v>
      </c>
      <c r="W445" t="str">
        <f t="shared" si="363"/>
        <v>1-4,65576219498792i</v>
      </c>
      <c r="X445" s="4">
        <f t="shared" si="377"/>
        <v>4.7619451504903685</v>
      </c>
      <c r="Y445" s="4">
        <f t="shared" si="378"/>
        <v>-1.3592231887803268</v>
      </c>
      <c r="Z445" t="str">
        <f t="shared" si="364"/>
        <v>0,861305259818988+0,639664069588261i</v>
      </c>
      <c r="AA445" s="4">
        <f t="shared" si="379"/>
        <v>1.0728545439685988</v>
      </c>
      <c r="AB445" s="4">
        <f t="shared" si="380"/>
        <v>0.63879225154994801</v>
      </c>
      <c r="AC445" s="47" t="str">
        <f t="shared" si="381"/>
        <v>-0,275691870279961-0,542976935645718i</v>
      </c>
      <c r="AD445" s="20">
        <f t="shared" si="382"/>
        <v>-4.3082518572199211</v>
      </c>
      <c r="AE445" s="43">
        <f t="shared" si="383"/>
        <v>-116.91879099794511</v>
      </c>
      <c r="AF445" t="str">
        <f t="shared" si="365"/>
        <v>171,265703090588</v>
      </c>
      <c r="AG445" t="str">
        <f t="shared" si="366"/>
        <v>1+9236,98190112861i</v>
      </c>
      <c r="AH445">
        <f t="shared" si="384"/>
        <v>9236.9819552588451</v>
      </c>
      <c r="AI445">
        <f t="shared" si="385"/>
        <v>1.5706880663255358</v>
      </c>
      <c r="AJ445" t="str">
        <f t="shared" si="367"/>
        <v>1+23,3996770755364i</v>
      </c>
      <c r="AK445">
        <f t="shared" si="386"/>
        <v>23.42103514448889</v>
      </c>
      <c r="AL445">
        <f t="shared" si="387"/>
        <v>1.5280866823451325</v>
      </c>
      <c r="AM445" t="str">
        <f t="shared" si="368"/>
        <v>1-1,47091611193776i</v>
      </c>
      <c r="AN445">
        <f t="shared" si="388"/>
        <v>1.7786495462451555</v>
      </c>
      <c r="AO445">
        <f t="shared" si="389"/>
        <v>-0.9737233250538736</v>
      </c>
      <c r="AP445" s="41" t="str">
        <f t="shared" si="390"/>
        <v>0,406658947079521-0,656669769395639i</v>
      </c>
      <c r="AQ445">
        <f t="shared" si="391"/>
        <v>-2.2432644352313984</v>
      </c>
      <c r="AR445" s="43">
        <f t="shared" si="392"/>
        <v>-58.231116442525483</v>
      </c>
      <c r="AS445" t="str">
        <f t="shared" si="369"/>
        <v>-0,0000166666666666667</v>
      </c>
      <c r="AT445" t="str">
        <f t="shared" si="370"/>
        <v>0,00178071542544832i</v>
      </c>
      <c r="AU445">
        <f t="shared" si="393"/>
        <v>1.78071542544832E-3</v>
      </c>
      <c r="AV445">
        <f t="shared" si="394"/>
        <v>1.5707963267948966</v>
      </c>
      <c r="AW445" t="str">
        <f t="shared" si="371"/>
        <v>1+5,5808691054006i</v>
      </c>
      <c r="AX445">
        <f t="shared" si="395"/>
        <v>5.6697530785400954</v>
      </c>
      <c r="AY445">
        <f t="shared" si="396"/>
        <v>1.3934943174910226</v>
      </c>
      <c r="AZ445" t="str">
        <f t="shared" si="372"/>
        <v>1+386,094671746351i</v>
      </c>
      <c r="BA445">
        <f t="shared" si="397"/>
        <v>386.0959667633457</v>
      </c>
      <c r="BB445">
        <f t="shared" si="398"/>
        <v>1.5682062942534312</v>
      </c>
      <c r="BC445" s="41" t="str">
        <f t="shared" si="399"/>
        <v>-0,110788926101239+0,627658028953871i</v>
      </c>
      <c r="BD445">
        <f t="shared" si="400"/>
        <v>-3.9122930350459102</v>
      </c>
      <c r="BE445" s="43">
        <f t="shared" si="401"/>
        <v>100.01025889887369</v>
      </c>
      <c r="BF445" s="41" t="str">
        <f t="shared" si="402"/>
        <v>0,371347439437963-0,112884384300596i</v>
      </c>
      <c r="BG445" s="20">
        <f t="shared" si="403"/>
        <v>-8.2205448922658348</v>
      </c>
      <c r="BH445" s="43">
        <f t="shared" si="404"/>
        <v>-16.908532099071447</v>
      </c>
      <c r="BI445" s="41" t="str">
        <f t="shared" si="409"/>
        <v>0,367110745096059+0,32799449173488i</v>
      </c>
      <c r="BJ445" s="20">
        <f t="shared" si="405"/>
        <v>-6.1555574702773068</v>
      </c>
      <c r="BK445" s="43">
        <f t="shared" si="410"/>
        <v>41.779142456348247</v>
      </c>
      <c r="BL445">
        <f t="shared" si="406"/>
        <v>-8.2205448922658348</v>
      </c>
      <c r="BM445" s="43">
        <f t="shared" si="407"/>
        <v>-16.908532099071447</v>
      </c>
    </row>
    <row r="446" spans="14:65" x14ac:dyDescent="0.25">
      <c r="N446" s="9">
        <v>28</v>
      </c>
      <c r="O446" s="34">
        <f t="shared" si="408"/>
        <v>190546.07179632492</v>
      </c>
      <c r="P446" s="33" t="str">
        <f t="shared" si="360"/>
        <v>54,631621870174</v>
      </c>
      <c r="Q446" s="4" t="str">
        <f t="shared" si="361"/>
        <v>1+9543,4700237807i</v>
      </c>
      <c r="R446" s="4">
        <f t="shared" si="373"/>
        <v>9543.4700761725435</v>
      </c>
      <c r="S446" s="4">
        <f t="shared" si="374"/>
        <v>1.5706915431057513</v>
      </c>
      <c r="T446" s="4" t="str">
        <f t="shared" si="362"/>
        <v>1+23,9447255730292i</v>
      </c>
      <c r="U446" s="4">
        <f t="shared" si="375"/>
        <v>23.965597901318436</v>
      </c>
      <c r="V446" s="4">
        <f t="shared" si="376"/>
        <v>1.529057730709106</v>
      </c>
      <c r="W446" t="str">
        <f t="shared" si="363"/>
        <v>1-4,76420882785683i</v>
      </c>
      <c r="X446" s="4">
        <f t="shared" si="377"/>
        <v>4.868026885240976</v>
      </c>
      <c r="Y446" s="4">
        <f t="shared" si="378"/>
        <v>-1.3639014050992404</v>
      </c>
      <c r="Z446" t="str">
        <f t="shared" si="364"/>
        <v>0,854768778091957+0,654563759823461i</v>
      </c>
      <c r="AA446" s="4">
        <f t="shared" si="379"/>
        <v>1.0766073470281738</v>
      </c>
      <c r="AB446" s="4">
        <f t="shared" si="380"/>
        <v>0.65352326000939942</v>
      </c>
      <c r="AC446" s="47" t="str">
        <f t="shared" si="381"/>
        <v>-0,290990983066263-0,547842668988888i</v>
      </c>
      <c r="AD446" s="20">
        <f t="shared" si="382"/>
        <v>-4.1475665014123502</v>
      </c>
      <c r="AE446" s="43">
        <f t="shared" si="383"/>
        <v>-117.97536053168578</v>
      </c>
      <c r="AF446" t="str">
        <f t="shared" si="365"/>
        <v>171,265703090588</v>
      </c>
      <c r="AG446" t="str">
        <f t="shared" si="366"/>
        <v>1+9452,13884924914i</v>
      </c>
      <c r="AH446">
        <f t="shared" si="384"/>
        <v>9452.1389021472205</v>
      </c>
      <c r="AI446">
        <f t="shared" si="385"/>
        <v>1.5706905306346606</v>
      </c>
      <c r="AJ446" t="str">
        <f t="shared" si="367"/>
        <v>1+23,9447255730292i</v>
      </c>
      <c r="AK446">
        <f t="shared" si="386"/>
        <v>23.965597901318436</v>
      </c>
      <c r="AL446">
        <f t="shared" si="387"/>
        <v>1.529057730709106</v>
      </c>
      <c r="AM446" t="str">
        <f t="shared" si="368"/>
        <v>1-1,50517814957878i</v>
      </c>
      <c r="AN446">
        <f t="shared" si="388"/>
        <v>1.8070864013570023</v>
      </c>
      <c r="AO446">
        <f t="shared" si="389"/>
        <v>-0.98438319998443036</v>
      </c>
      <c r="AP446" s="41" t="str">
        <f t="shared" si="390"/>
        <v>0,406658856951084-0,671113666759139i</v>
      </c>
      <c r="AQ446">
        <f t="shared" si="391"/>
        <v>-2.105850143257439</v>
      </c>
      <c r="AR446" s="43">
        <f t="shared" si="392"/>
        <v>-58.786386507737177</v>
      </c>
      <c r="AS446" t="str">
        <f t="shared" si="369"/>
        <v>-0,0000166666666666667</v>
      </c>
      <c r="AT446" t="str">
        <f t="shared" si="370"/>
        <v>0,00182219361610751i</v>
      </c>
      <c r="AU446">
        <f t="shared" si="393"/>
        <v>1.82219361610751E-3</v>
      </c>
      <c r="AV446">
        <f t="shared" si="394"/>
        <v>1.5707963267948966</v>
      </c>
      <c r="AW446" t="str">
        <f t="shared" si="371"/>
        <v>1+5,71086424639264i</v>
      </c>
      <c r="AX446">
        <f t="shared" si="395"/>
        <v>5.7977556382384519</v>
      </c>
      <c r="AY446">
        <f t="shared" si="396"/>
        <v>1.3974489323967012</v>
      </c>
      <c r="AZ446" t="str">
        <f t="shared" si="372"/>
        <v>1+395,087971954982i</v>
      </c>
      <c r="BA446">
        <f t="shared" si="397"/>
        <v>395.08923749388651</v>
      </c>
      <c r="BB446">
        <f t="shared" si="398"/>
        <v>1.568265250337161</v>
      </c>
      <c r="BC446" s="41" t="str">
        <f t="shared" si="399"/>
        <v>-0,105950943833858+0,614217942061641i</v>
      </c>
      <c r="BD446">
        <f t="shared" si="400"/>
        <v>-4.1062095746390694</v>
      </c>
      <c r="BE446" s="43">
        <f t="shared" si="401"/>
        <v>99.787054089953131</v>
      </c>
      <c r="BF446" s="41" t="str">
        <f t="shared" si="402"/>
        <v>0,367325566022924-0,120687434925621i</v>
      </c>
      <c r="BG446" s="20">
        <f t="shared" si="403"/>
        <v>-8.253776076051432</v>
      </c>
      <c r="BH446" s="43">
        <f t="shared" si="404"/>
        <v>-18.188306441732621</v>
      </c>
      <c r="BI446" s="41" t="str">
        <f t="shared" si="409"/>
        <v>0,369124165573875+0,320882292650566i</v>
      </c>
      <c r="BJ446" s="20">
        <f t="shared" si="405"/>
        <v>-6.2120597178965129</v>
      </c>
      <c r="BK446" s="43">
        <f t="shared" si="410"/>
        <v>41.000667582215954</v>
      </c>
      <c r="BL446">
        <f t="shared" si="406"/>
        <v>-8.253776076051432</v>
      </c>
      <c r="BM446" s="43">
        <f t="shared" si="407"/>
        <v>-18.188306441732621</v>
      </c>
    </row>
    <row r="447" spans="14:65" x14ac:dyDescent="0.25">
      <c r="N447" s="9">
        <v>29</v>
      </c>
      <c r="O447" s="34">
        <f t="shared" si="408"/>
        <v>194984.45997580473</v>
      </c>
      <c r="P447" s="33" t="str">
        <f t="shared" si="360"/>
        <v>54,631621870174</v>
      </c>
      <c r="Q447" s="4" t="str">
        <f t="shared" si="361"/>
        <v>1+9765,76599737617i</v>
      </c>
      <c r="R447" s="4">
        <f t="shared" si="373"/>
        <v>9765.7660485754295</v>
      </c>
      <c r="S447" s="4">
        <f t="shared" si="374"/>
        <v>1.5706939282736978</v>
      </c>
      <c r="T447" s="4" t="str">
        <f t="shared" si="362"/>
        <v>1+24,5024698809664i</v>
      </c>
      <c r="U447" s="4">
        <f t="shared" si="375"/>
        <v>24.522867496841911</v>
      </c>
      <c r="V447" s="4">
        <f t="shared" si="376"/>
        <v>1.5300067514237683</v>
      </c>
      <c r="W447" t="str">
        <f t="shared" si="363"/>
        <v>1-4,87518150730798i</v>
      </c>
      <c r="X447" s="4">
        <f t="shared" si="377"/>
        <v>4.9766851145313291</v>
      </c>
      <c r="Y447" s="4">
        <f t="shared" si="378"/>
        <v>-1.3684820271564553</v>
      </c>
      <c r="Z447" t="str">
        <f t="shared" si="364"/>
        <v>0,847924241471776+0,669810508428287i</v>
      </c>
      <c r="AA447" s="4">
        <f t="shared" si="379"/>
        <v>1.0805654244313239</v>
      </c>
      <c r="AB447" s="4">
        <f t="shared" si="380"/>
        <v>0.66857751880132865</v>
      </c>
      <c r="AC447" s="47" t="str">
        <f t="shared" si="381"/>
        <v>-0,306760470999471-0,552361538466985i</v>
      </c>
      <c r="AD447" s="20">
        <f t="shared" si="382"/>
        <v>-3.9880374963362981</v>
      </c>
      <c r="AE447" s="43">
        <f t="shared" si="383"/>
        <v>-119.04611811402017</v>
      </c>
      <c r="AF447" t="str">
        <f t="shared" si="365"/>
        <v>171,265703090588</v>
      </c>
      <c r="AG447" t="str">
        <f t="shared" si="366"/>
        <v>1+9672,30744650126i</v>
      </c>
      <c r="AH447">
        <f t="shared" si="384"/>
        <v>9672.3074981952323</v>
      </c>
      <c r="AI447">
        <f t="shared" si="385"/>
        <v>1.5706929388492623</v>
      </c>
      <c r="AJ447" t="str">
        <f t="shared" si="367"/>
        <v>1+24,5024698809664i</v>
      </c>
      <c r="AK447">
        <f t="shared" si="386"/>
        <v>24.522867496841911</v>
      </c>
      <c r="AL447">
        <f t="shared" si="387"/>
        <v>1.5300067514237683</v>
      </c>
      <c r="AM447" t="str">
        <f t="shared" si="368"/>
        <v>1-1,54023825259807i</v>
      </c>
      <c r="AN447">
        <f t="shared" si="388"/>
        <v>1.8363915363468533</v>
      </c>
      <c r="AO447">
        <f t="shared" si="389"/>
        <v>-0.99494838403768815</v>
      </c>
      <c r="AP447" s="41" t="str">
        <f t="shared" si="390"/>
        <v>0,406658770879094-0,685913397471124i</v>
      </c>
      <c r="AQ447">
        <f t="shared" si="391"/>
        <v>-1.9664631832435975</v>
      </c>
      <c r="AR447" s="43">
        <f t="shared" si="392"/>
        <v>-59.33749006267999</v>
      </c>
      <c r="AS447" t="str">
        <f t="shared" si="369"/>
        <v>-0,0000166666666666667</v>
      </c>
      <c r="AT447" t="str">
        <f t="shared" si="370"/>
        <v>0,00186463795794155i</v>
      </c>
      <c r="AU447">
        <f t="shared" si="393"/>
        <v>1.86463795794155E-3</v>
      </c>
      <c r="AV447">
        <f t="shared" si="394"/>
        <v>1.5707963267948966</v>
      </c>
      <c r="AW447" t="str">
        <f t="shared" si="371"/>
        <v>1+5,84388736320026i</v>
      </c>
      <c r="AX447">
        <f t="shared" si="395"/>
        <v>5.928829523082249</v>
      </c>
      <c r="AY447">
        <f t="shared" si="396"/>
        <v>1.4013188287505502</v>
      </c>
      <c r="AZ447" t="str">
        <f t="shared" si="372"/>
        <v>1+404,290753035946i</v>
      </c>
      <c r="BA447">
        <f t="shared" si="397"/>
        <v>404.29198976775723</v>
      </c>
      <c r="BB447">
        <f t="shared" si="398"/>
        <v>1.5683228644335856</v>
      </c>
      <c r="BC447" s="41" t="str">
        <f t="shared" si="399"/>
        <v>-0,10131802557826+0,601029414972296i</v>
      </c>
      <c r="BD447">
        <f t="shared" si="400"/>
        <v>-4.3003919459391886</v>
      </c>
      <c r="BE447" s="43">
        <f t="shared" si="401"/>
        <v>99.568626406290051</v>
      </c>
      <c r="BF447" s="41" t="str">
        <f t="shared" si="402"/>
        <v>0,363065897565133-0,128407885938593i</v>
      </c>
      <c r="BG447" s="20">
        <f t="shared" si="403"/>
        <v>-8.2884294422754827</v>
      </c>
      <c r="BH447" s="43">
        <f t="shared" si="404"/>
        <v>-19.47749170773012</v>
      </c>
      <c r="BI447" s="41" t="str">
        <f t="shared" si="409"/>
        <v>0,371052264254178+0,313909274304265i</v>
      </c>
      <c r="BJ447" s="20">
        <f t="shared" si="405"/>
        <v>-6.2668551291827876</v>
      </c>
      <c r="BK447" s="43">
        <f t="shared" si="410"/>
        <v>40.231136343610018</v>
      </c>
      <c r="BL447">
        <f t="shared" si="406"/>
        <v>-8.2884294422754827</v>
      </c>
      <c r="BM447" s="43">
        <f t="shared" si="407"/>
        <v>-19.47749170773012</v>
      </c>
    </row>
    <row r="448" spans="14:65" x14ac:dyDescent="0.25">
      <c r="N448" s="9">
        <v>30</v>
      </c>
      <c r="O448" s="34">
        <f t="shared" si="408"/>
        <v>199526.23149688813</v>
      </c>
      <c r="P448" s="33" t="str">
        <f t="shared" si="360"/>
        <v>54,631621870174</v>
      </c>
      <c r="Q448" s="4" t="str">
        <f t="shared" si="361"/>
        <v>1+9993,23990936872i</v>
      </c>
      <c r="R448" s="4">
        <f t="shared" si="373"/>
        <v>9993.2399594025446</v>
      </c>
      <c r="S448" s="4">
        <f t="shared" si="374"/>
        <v>1.5706962591485947</v>
      </c>
      <c r="T448" s="4" t="str">
        <f t="shared" si="362"/>
        <v>1+25,0732057227632i</v>
      </c>
      <c r="U448" s="4">
        <f t="shared" si="375"/>
        <v>25.093139405343546</v>
      </c>
      <c r="V448" s="4">
        <f t="shared" si="376"/>
        <v>1.5309342408307569</v>
      </c>
      <c r="W448" t="str">
        <f t="shared" si="363"/>
        <v>1-4,98873907252498i</v>
      </c>
      <c r="X448" s="4">
        <f t="shared" si="377"/>
        <v>5.0879777450120001</v>
      </c>
      <c r="Y448" s="4">
        <f t="shared" si="378"/>
        <v>-1.3729667144089206</v>
      </c>
      <c r="Z448" t="str">
        <f t="shared" si="364"/>
        <v>0,840757131778601+0,685412399430676i</v>
      </c>
      <c r="AA448" s="4">
        <f t="shared" si="379"/>
        <v>1.0847408501249949</v>
      </c>
      <c r="AB448" s="4">
        <f t="shared" si="380"/>
        <v>0.6839601852947006</v>
      </c>
      <c r="AC448" s="47" t="str">
        <f t="shared" si="381"/>
        <v>-0,323000269898093-0,556500988749296i</v>
      </c>
      <c r="AD448" s="20">
        <f t="shared" si="382"/>
        <v>-3.8297603051038633</v>
      </c>
      <c r="AE448" s="43">
        <f t="shared" si="383"/>
        <v>-120.13142595448072</v>
      </c>
      <c r="AF448" t="str">
        <f t="shared" si="365"/>
        <v>171,265703090588</v>
      </c>
      <c r="AG448" t="str">
        <f t="shared" si="366"/>
        <v>1+9897,60442918971i</v>
      </c>
      <c r="AH448">
        <f t="shared" si="384"/>
        <v>9897.6044797069844</v>
      </c>
      <c r="AI448">
        <f t="shared" si="385"/>
        <v>1.5706952922462085</v>
      </c>
      <c r="AJ448" t="str">
        <f t="shared" si="367"/>
        <v>1+25,0732057227632i</v>
      </c>
      <c r="AK448">
        <f t="shared" si="386"/>
        <v>25.093139405343546</v>
      </c>
      <c r="AL448">
        <f t="shared" si="387"/>
        <v>1.5309342408307569</v>
      </c>
      <c r="AM448" t="str">
        <f t="shared" si="368"/>
        <v>1-1,57611501032636i</v>
      </c>
      <c r="AN448">
        <f t="shared" si="388"/>
        <v>1.8665847223675816</v>
      </c>
      <c r="AO448">
        <f t="shared" si="389"/>
        <v>-1.0054150443110608</v>
      </c>
      <c r="AP448" s="41" t="str">
        <f t="shared" si="390"/>
        <v>0,406658688680982-0,701076808544788i</v>
      </c>
      <c r="AQ448">
        <f t="shared" si="391"/>
        <v>-1.8251397373158287</v>
      </c>
      <c r="AR448" s="43">
        <f t="shared" si="392"/>
        <v>-59.884179133090463</v>
      </c>
      <c r="AS448" t="str">
        <f t="shared" si="369"/>
        <v>-0,0000166666666666667</v>
      </c>
      <c r="AT448" t="str">
        <f t="shared" si="370"/>
        <v>0,00190807095550228i</v>
      </c>
      <c r="AU448">
        <f t="shared" si="393"/>
        <v>1.9080709555022799E-3</v>
      </c>
      <c r="AV448">
        <f t="shared" si="394"/>
        <v>1.5707963267948966</v>
      </c>
      <c r="AW448" t="str">
        <f t="shared" si="371"/>
        <v>1+5,98000898644089i</v>
      </c>
      <c r="AX448">
        <f t="shared" si="395"/>
        <v>6.0630444067245453</v>
      </c>
      <c r="AY448">
        <f t="shared" si="396"/>
        <v>1.4051055945436564</v>
      </c>
      <c r="AZ448" t="str">
        <f t="shared" si="372"/>
        <v>1+413,707894425593i</v>
      </c>
      <c r="BA448">
        <f t="shared" si="397"/>
        <v>413.70910300603447</v>
      </c>
      <c r="BB448">
        <f t="shared" si="398"/>
        <v>1.5683791670889307</v>
      </c>
      <c r="BC448" s="41" t="str">
        <f t="shared" si="399"/>
        <v>-0,0968820111185362+0,588090122523556i</v>
      </c>
      <c r="BD448">
        <f t="shared" si="400"/>
        <v>-4.4948288662293931</v>
      </c>
      <c r="BE448" s="43">
        <f t="shared" si="401"/>
        <v>99.354886612867276</v>
      </c>
      <c r="BF448" s="41" t="str">
        <f t="shared" si="402"/>
        <v>0,358565650397611-0,136038333320025i</v>
      </c>
      <c r="BG448" s="20">
        <f t="shared" si="403"/>
        <v>-8.3245891713332547</v>
      </c>
      <c r="BH448" s="43">
        <f t="shared" si="404"/>
        <v>-20.776539341613365</v>
      </c>
      <c r="BI448" s="41" t="str">
        <f t="shared" si="409"/>
        <v>0,372898434637288+0,307073689212051i</v>
      </c>
      <c r="BJ448" s="20">
        <f t="shared" si="405"/>
        <v>-6.3199686035452203</v>
      </c>
      <c r="BK448" s="43">
        <f t="shared" si="410"/>
        <v>39.47070747977677</v>
      </c>
      <c r="BL448">
        <f t="shared" si="406"/>
        <v>-8.3245891713332547</v>
      </c>
      <c r="BM448" s="43">
        <f t="shared" si="407"/>
        <v>-20.776539341613365</v>
      </c>
    </row>
    <row r="449" spans="14:65" x14ac:dyDescent="0.25">
      <c r="N449" s="9">
        <v>31</v>
      </c>
      <c r="O449" s="34">
        <f t="shared" si="408"/>
        <v>204173.79446695308</v>
      </c>
      <c r="P449" s="33" t="str">
        <f t="shared" si="360"/>
        <v>54,631621870174</v>
      </c>
      <c r="Q449" s="4" t="str">
        <f t="shared" si="361"/>
        <v>1+10226,0123694373i</v>
      </c>
      <c r="R449" s="4">
        <f t="shared" si="373"/>
        <v>10226.012418332213</v>
      </c>
      <c r="S449" s="4">
        <f t="shared" si="374"/>
        <v>1.5706985369663022</v>
      </c>
      <c r="T449" s="4" t="str">
        <f t="shared" si="362"/>
        <v>1+25,6572357101172i</v>
      </c>
      <c r="U449" s="4">
        <f t="shared" si="375"/>
        <v>25.676715994934266</v>
      </c>
      <c r="V449" s="4">
        <f t="shared" si="376"/>
        <v>1.5318406843107097</v>
      </c>
      <c r="W449" t="str">
        <f t="shared" si="363"/>
        <v>1-5,10494173323199i</v>
      </c>
      <c r="X449" s="4">
        <f t="shared" si="377"/>
        <v>5.2019640617456826</v>
      </c>
      <c r="Y449" s="4">
        <f t="shared" si="378"/>
        <v>-1.3773571227719514</v>
      </c>
      <c r="Z449" t="str">
        <f t="shared" si="364"/>
        <v>0,833252246611867+0,701377705159746i</v>
      </c>
      <c r="AA449" s="4">
        <f t="shared" si="379"/>
        <v>1.0891464510243216</v>
      </c>
      <c r="AB449" s="4">
        <f t="shared" si="380"/>
        <v>0.69967628129644233</v>
      </c>
      <c r="AC449" s="47" t="str">
        <f t="shared" si="381"/>
        <v>-0,339708542230298-0,560227073151787i</v>
      </c>
      <c r="AD449" s="20">
        <f t="shared" si="382"/>
        <v>-3.6728335540619552</v>
      </c>
      <c r="AE449" s="43">
        <f t="shared" si="383"/>
        <v>-121.23163891891619</v>
      </c>
      <c r="AF449" t="str">
        <f t="shared" si="365"/>
        <v>171,265703090588</v>
      </c>
      <c r="AG449" t="str">
        <f t="shared" si="366"/>
        <v>1+10128,1492527568i</v>
      </c>
      <c r="AH449">
        <f t="shared" si="384"/>
        <v>10128.14930212416</v>
      </c>
      <c r="AI449">
        <f t="shared" si="385"/>
        <v>1.5706975920733008</v>
      </c>
      <c r="AJ449" t="str">
        <f t="shared" si="367"/>
        <v>1+25,6572357101172i</v>
      </c>
      <c r="AK449">
        <f t="shared" si="386"/>
        <v>25.676715994934266</v>
      </c>
      <c r="AL449">
        <f t="shared" si="387"/>
        <v>1.5318406843107097</v>
      </c>
      <c r="AM449" t="str">
        <f t="shared" si="368"/>
        <v>1-1,61282744509546i</v>
      </c>
      <c r="AN449">
        <f t="shared" si="388"/>
        <v>1.8976860561360378</v>
      </c>
      <c r="AO449">
        <f t="shared" si="389"/>
        <v>-1.0157795570596342</v>
      </c>
      <c r="AP449" s="41" t="str">
        <f t="shared" si="390"/>
        <v>0,406658610182392-0,716611939821434i</v>
      </c>
      <c r="AQ449">
        <f t="shared" si="391"/>
        <v>-1.6819169807039847</v>
      </c>
      <c r="AR449" s="43">
        <f t="shared" si="392"/>
        <v>-60.426218354910844</v>
      </c>
      <c r="AS449" t="str">
        <f t="shared" si="369"/>
        <v>-0,0000166666666666667</v>
      </c>
      <c r="AT449" t="str">
        <f t="shared" si="370"/>
        <v>0,00195251563753993i</v>
      </c>
      <c r="AU449">
        <f t="shared" si="393"/>
        <v>1.9525156375399301E-3</v>
      </c>
      <c r="AV449">
        <f t="shared" si="394"/>
        <v>1.5707963267948966</v>
      </c>
      <c r="AW449" t="str">
        <f t="shared" si="371"/>
        <v>1+6,11930128960088i</v>
      </c>
      <c r="AX449">
        <f t="shared" si="395"/>
        <v>6.2004716169748741</v>
      </c>
      <c r="AY449">
        <f t="shared" si="396"/>
        <v>1.4088108029454622</v>
      </c>
      <c r="AZ449" t="str">
        <f t="shared" si="372"/>
        <v>1+423,344389216934i</v>
      </c>
      <c r="BA449">
        <f t="shared" si="397"/>
        <v>423.34557028680359</v>
      </c>
      <c r="BB449">
        <f t="shared" si="398"/>
        <v>1.5684341881541806</v>
      </c>
      <c r="BC449" s="41" t="str">
        <f t="shared" si="399"/>
        <v>-0,0926350192332119+0,575397589165436i</v>
      </c>
      <c r="BD449">
        <f t="shared" si="400"/>
        <v>-4.6895095030695293</v>
      </c>
      <c r="BE449" s="43">
        <f t="shared" si="401"/>
        <v>99.145746284050517</v>
      </c>
      <c r="BF449" s="41" t="str">
        <f t="shared" si="402"/>
        <v>0,353822214619937-0,143570830521836i</v>
      </c>
      <c r="BG449" s="20">
        <f t="shared" si="403"/>
        <v>-8.3623430571314792</v>
      </c>
      <c r="BH449" s="43">
        <f t="shared" si="404"/>
        <v>-22.085892634865587</v>
      </c>
      <c r="BI449" s="41" t="str">
        <f t="shared" si="409"/>
        <v>0,374665954364823+0,300373744740423i</v>
      </c>
      <c r="BJ449" s="20">
        <f t="shared" si="405"/>
        <v>-6.3714264837735071</v>
      </c>
      <c r="BK449" s="43">
        <f t="shared" si="410"/>
        <v>38.719527929139637</v>
      </c>
      <c r="BL449">
        <f t="shared" si="406"/>
        <v>-8.3623430571314792</v>
      </c>
      <c r="BM449" s="43">
        <f t="shared" si="407"/>
        <v>-22.085892634865587</v>
      </c>
    </row>
    <row r="450" spans="14:65" x14ac:dyDescent="0.25">
      <c r="N450" s="9">
        <v>32</v>
      </c>
      <c r="O450" s="34">
        <f t="shared" si="408"/>
        <v>208929.61308540447</v>
      </c>
      <c r="P450" s="33" t="str">
        <f t="shared" si="360"/>
        <v>54,631621870174</v>
      </c>
      <c r="Q450" s="4" t="str">
        <f t="shared" si="361"/>
        <v>1+10464,2067966216i</v>
      </c>
      <c r="R450" s="4">
        <f t="shared" si="373"/>
        <v>10464.206844403529</v>
      </c>
      <c r="S450" s="4">
        <f t="shared" si="374"/>
        <v>1.5707007629345495</v>
      </c>
      <c r="T450" s="4" t="str">
        <f t="shared" si="362"/>
        <v>1+26,2548695034586i</v>
      </c>
      <c r="U450" s="4">
        <f t="shared" si="375"/>
        <v>26.273906687884089</v>
      </c>
      <c r="V450" s="4">
        <f t="shared" si="376"/>
        <v>1.5327265565103996</v>
      </c>
      <c r="W450" t="str">
        <f t="shared" si="363"/>
        <v>1-5,22385110161789i</v>
      </c>
      <c r="X450" s="4">
        <f t="shared" si="377"/>
        <v>5.3187047607358737</v>
      </c>
      <c r="Y450" s="4">
        <f t="shared" si="378"/>
        <v>-1.38165490274948</v>
      </c>
      <c r="Z450" t="str">
        <f t="shared" si="364"/>
        <v>0,825393667103932+0,717714890631929i</v>
      </c>
      <c r="AA450" s="4">
        <f t="shared" si="379"/>
        <v>1.0937958538640007</v>
      </c>
      <c r="AB450" s="4">
        <f t="shared" si="380"/>
        <v>0.71573066588841749</v>
      </c>
      <c r="AC450" s="47" t="str">
        <f t="shared" si="381"/>
        <v>-0,356881489329271-0,563504500102694i</v>
      </c>
      <c r="AD450" s="20">
        <f t="shared" si="382"/>
        <v>-3.5173591617229727</v>
      </c>
      <c r="AE450" s="43">
        <f t="shared" si="383"/>
        <v>-122.34710285306012</v>
      </c>
      <c r="AF450" t="str">
        <f t="shared" si="365"/>
        <v>171,265703090588</v>
      </c>
      <c r="AG450" t="str">
        <f t="shared" si="366"/>
        <v>1+10364,0641551196i</v>
      </c>
      <c r="AH450">
        <f t="shared" si="384"/>
        <v>10364.064203363223</v>
      </c>
      <c r="AI450">
        <f t="shared" si="385"/>
        <v>1.5706998395499385</v>
      </c>
      <c r="AJ450" t="str">
        <f t="shared" si="367"/>
        <v>1+26,2548695034586i</v>
      </c>
      <c r="AK450">
        <f t="shared" si="386"/>
        <v>26.273906687884089</v>
      </c>
      <c r="AL450">
        <f t="shared" si="387"/>
        <v>1.5327265565103996</v>
      </c>
      <c r="AM450" t="str">
        <f t="shared" si="368"/>
        <v>1-1,65039502232427i</v>
      </c>
      <c r="AN450">
        <f t="shared" si="388"/>
        <v>1.9297159712539893</v>
      </c>
      <c r="AO450">
        <f t="shared" si="389"/>
        <v>-1.0260385102470249</v>
      </c>
      <c r="AP450" s="41" t="str">
        <f t="shared" si="390"/>
        <v>0,406658535216825-0,732527028233374i</v>
      </c>
      <c r="AQ450">
        <f t="shared" si="391"/>
        <v>-1.5368329687618776</v>
      </c>
      <c r="AR450" s="43">
        <f t="shared" si="392"/>
        <v>-60.963385107466287</v>
      </c>
      <c r="AS450" t="str">
        <f t="shared" si="369"/>
        <v>-0,0000166666666666667</v>
      </c>
      <c r="AT450" t="str">
        <f t="shared" si="370"/>
        <v>0,0019979955692132i</v>
      </c>
      <c r="AU450">
        <f t="shared" si="393"/>
        <v>1.9979955692131998E-3</v>
      </c>
      <c r="AV450">
        <f t="shared" si="394"/>
        <v>1.5707963267948966</v>
      </c>
      <c r="AW450" t="str">
        <f t="shared" si="371"/>
        <v>1+6,2618381273032i</v>
      </c>
      <c r="AX450">
        <f t="shared" si="395"/>
        <v>6.3411841743122439</v>
      </c>
      <c r="AY450">
        <f t="shared" si="396"/>
        <v>1.4124360113629975</v>
      </c>
      <c r="AZ450" t="str">
        <f t="shared" si="372"/>
        <v>1+433,205346807067i</v>
      </c>
      <c r="BA450">
        <f t="shared" si="397"/>
        <v>433.20650099257648</v>
      </c>
      <c r="BB450">
        <f t="shared" si="398"/>
        <v>1.5684879568008991</v>
      </c>
      <c r="BC450" s="41" t="str">
        <f t="shared" si="399"/>
        <v>-0,0885694421920047+0,562949203538846i</v>
      </c>
      <c r="BD450">
        <f t="shared" si="400"/>
        <v>-4.8844234587865678</v>
      </c>
      <c r="BE450" s="43">
        <f t="shared" si="401"/>
        <v>98.941117858397547</v>
      </c>
      <c r="BF450" s="41" t="str">
        <f t="shared" si="402"/>
        <v>0,348833203961913-0,15099687092889i</v>
      </c>
      <c r="BG450" s="20">
        <f t="shared" si="403"/>
        <v>-8.4017826205095361</v>
      </c>
      <c r="BH450" s="43">
        <f t="shared" si="404"/>
        <v>-23.405984994662528</v>
      </c>
      <c r="BI450" s="41" t="str">
        <f t="shared" si="409"/>
        <v>0,376357987487884+0,293807608793782i</v>
      </c>
      <c r="BJ450" s="20">
        <f t="shared" si="405"/>
        <v>-6.4212564275484452</v>
      </c>
      <c r="BK450" s="43">
        <f t="shared" si="410"/>
        <v>37.977732750931224</v>
      </c>
      <c r="BL450">
        <f t="shared" si="406"/>
        <v>-8.4017826205095361</v>
      </c>
      <c r="BM450" s="43">
        <f t="shared" si="407"/>
        <v>-23.405984994662528</v>
      </c>
    </row>
    <row r="451" spans="14:65" x14ac:dyDescent="0.25">
      <c r="N451" s="9">
        <v>33</v>
      </c>
      <c r="O451" s="34">
        <f t="shared" si="408"/>
        <v>213796.20895022334</v>
      </c>
      <c r="P451" s="33" t="str">
        <f t="shared" si="360"/>
        <v>54,631621870174</v>
      </c>
      <c r="Q451" s="4" t="str">
        <f t="shared" si="361"/>
        <v>1+10707,9494847595i</v>
      </c>
      <c r="R451" s="4">
        <f t="shared" si="373"/>
        <v>10707.949531453778</v>
      </c>
      <c r="S451" s="4">
        <f t="shared" si="374"/>
        <v>1.5707029382335744</v>
      </c>
      <c r="T451" s="4" t="str">
        <f t="shared" si="362"/>
        <v>1+26,8664239761348i</v>
      </c>
      <c r="U451" s="4">
        <f t="shared" si="375"/>
        <v>26.885028124691093</v>
      </c>
      <c r="V451" s="4">
        <f t="shared" si="376"/>
        <v>1.5335923215661744</v>
      </c>
      <c r="W451" t="str">
        <f t="shared" si="363"/>
        <v>1-5,34553022500367i</v>
      </c>
      <c r="X451" s="4">
        <f t="shared" si="377"/>
        <v>5.4382619821435405</v>
      </c>
      <c r="Y451" s="4">
        <f t="shared" si="378"/>
        <v>-1.3858616977038349</v>
      </c>
      <c r="Z451" t="str">
        <f t="shared" si="364"/>
        <v>0,817164724154049+0,734432618039199i</v>
      </c>
      <c r="AA451" s="4">
        <f t="shared" si="379"/>
        <v>1.0987035345541012</v>
      </c>
      <c r="AB451" s="4">
        <f t="shared" si="380"/>
        <v>0.73212800593290628</v>
      </c>
      <c r="AC451" s="47" t="str">
        <f t="shared" si="381"/>
        <v>-0,374513155396743-0,566296697830597i</v>
      </c>
      <c r="AD451" s="20">
        <f t="shared" si="382"/>
        <v>-3.3634424590391383</v>
      </c>
      <c r="AE451" s="43">
        <f t="shared" si="383"/>
        <v>-123.47815278071916</v>
      </c>
      <c r="AF451" t="str">
        <f t="shared" si="365"/>
        <v>171,265703090588</v>
      </c>
      <c r="AG451" t="str">
        <f t="shared" si="366"/>
        <v>1+10605,474221482i</v>
      </c>
      <c r="AH451">
        <f t="shared" si="384"/>
        <v>10605.474268627462</v>
      </c>
      <c r="AI451">
        <f t="shared" si="385"/>
        <v>1.5707020358677628</v>
      </c>
      <c r="AJ451" t="str">
        <f t="shared" si="367"/>
        <v>1+26,8664239761348i</v>
      </c>
      <c r="AK451">
        <f t="shared" si="386"/>
        <v>26.885028124691093</v>
      </c>
      <c r="AL451">
        <f t="shared" si="387"/>
        <v>1.5335923215661744</v>
      </c>
      <c r="AM451" t="str">
        <f t="shared" si="368"/>
        <v>1-1,68883766083946i</v>
      </c>
      <c r="AN451">
        <f t="shared" si="388"/>
        <v>1.962695250075696</v>
      </c>
      <c r="AO451">
        <f t="shared" si="389"/>
        <v>-1.036188705170344</v>
      </c>
      <c r="AP451" s="41" t="str">
        <f t="shared" si="390"/>
        <v>0,406658463625262-0,748830512171163i</v>
      </c>
      <c r="AQ451">
        <f t="shared" si="391"/>
        <v>-1.3899265248817105</v>
      </c>
      <c r="AR451" s="43">
        <f t="shared" si="392"/>
        <v>-61.495469593803591</v>
      </c>
      <c r="AS451" t="str">
        <f t="shared" si="369"/>
        <v>-0,0000166666666666667</v>
      </c>
      <c r="AT451" t="str">
        <f t="shared" si="370"/>
        <v>0,00204453486458386i</v>
      </c>
      <c r="AU451">
        <f t="shared" si="393"/>
        <v>2.04453486458386E-3</v>
      </c>
      <c r="AV451">
        <f t="shared" si="394"/>
        <v>1.5707963267948966</v>
      </c>
      <c r="AW451" t="str">
        <f t="shared" si="371"/>
        <v>1+6,40769507446579i</v>
      </c>
      <c r="AX451">
        <f t="shared" si="395"/>
        <v>6.4852568312544987</v>
      </c>
      <c r="AY451">
        <f t="shared" si="396"/>
        <v>1.4159827605919879</v>
      </c>
      <c r="AZ451" t="str">
        <f t="shared" si="372"/>
        <v>1+443,295995606224i</v>
      </c>
      <c r="BA451">
        <f t="shared" si="397"/>
        <v>443.29712351933142</v>
      </c>
      <c r="BB451">
        <f t="shared" si="398"/>
        <v>1.5685405015366902</v>
      </c>
      <c r="BC451" s="41" t="str">
        <f t="shared" si="399"/>
        <v>-0,0846779399660997+0,550742232217508i</v>
      </c>
      <c r="BD451">
        <f t="shared" si="400"/>
        <v>-5.0795607552829134</v>
      </c>
      <c r="BE451" s="43">
        <f t="shared" si="401"/>
        <v>98.740914688181576</v>
      </c>
      <c r="BF451" s="41" t="str">
        <f t="shared" si="402"/>
        <v>0,343596509949827-0,158307373416125i</v>
      </c>
      <c r="BG451" s="20">
        <f t="shared" si="403"/>
        <v>-8.4430032143220437</v>
      </c>
      <c r="BH451" s="43">
        <f t="shared" si="404"/>
        <v>-24.73723809253757</v>
      </c>
      <c r="BI451" s="41" t="str">
        <f t="shared" si="409"/>
        <v>0,37797758685616+0,287373415161532i</v>
      </c>
      <c r="BJ451" s="20">
        <f t="shared" si="405"/>
        <v>-6.4694872801646275</v>
      </c>
      <c r="BK451" s="43">
        <f t="shared" si="410"/>
        <v>37.245445094377921</v>
      </c>
      <c r="BL451">
        <f t="shared" si="406"/>
        <v>-8.4430032143220437</v>
      </c>
      <c r="BM451" s="43">
        <f t="shared" si="407"/>
        <v>-24.73723809253757</v>
      </c>
    </row>
    <row r="452" spans="14:65" x14ac:dyDescent="0.25">
      <c r="N452" s="9">
        <v>34</v>
      </c>
      <c r="O452" s="34">
        <f t="shared" si="408"/>
        <v>218776.16239495538</v>
      </c>
      <c r="P452" s="33" t="str">
        <f t="shared" si="360"/>
        <v>54,631621870174</v>
      </c>
      <c r="Q452" s="4" t="str">
        <f t="shared" si="361"/>
        <v>1+10957,3696694507i</v>
      </c>
      <c r="R452" s="4">
        <f t="shared" si="373"/>
        <v>10957.369715082088</v>
      </c>
      <c r="S452" s="4">
        <f t="shared" si="374"/>
        <v>1.570705064016749</v>
      </c>
      <c r="T452" s="4" t="str">
        <f t="shared" si="362"/>
        <v>1+27,4922233824224i</v>
      </c>
      <c r="U452" s="4">
        <f t="shared" si="375"/>
        <v>27.5104043319798</v>
      </c>
      <c r="V452" s="4">
        <f t="shared" si="376"/>
        <v>1.5344384333236964</v>
      </c>
      <c r="W452" t="str">
        <f t="shared" si="363"/>
        <v>1-5,47004361927122i</v>
      </c>
      <c r="X452" s="4">
        <f t="shared" si="377"/>
        <v>5.5606993442129005</v>
      </c>
      <c r="Y452" s="4">
        <f t="shared" si="378"/>
        <v>-1.3899791422585981</v>
      </c>
      <c r="Z452" t="str">
        <f t="shared" si="364"/>
        <v>0,808547963070944+0,75153975134192i</v>
      </c>
      <c r="AA452" s="4">
        <f t="shared" si="379"/>
        <v>1.1038848700988919</v>
      </c>
      <c r="AB452" s="4">
        <f t="shared" si="380"/>
        <v>0.74887274416813654</v>
      </c>
      <c r="AC452" s="47" t="str">
        <f t="shared" si="381"/>
        <v>-0,392595224424254-0,568565899419324i</v>
      </c>
      <c r="AD452" s="20">
        <f t="shared" si="382"/>
        <v>-3.2111922988091894</v>
      </c>
      <c r="AE452" s="43">
        <f t="shared" si="383"/>
        <v>-124.62511097171786</v>
      </c>
      <c r="AF452" t="str">
        <f t="shared" si="365"/>
        <v>171,265703090588</v>
      </c>
      <c r="AG452" t="str">
        <f t="shared" si="366"/>
        <v>1+10852,5074506567i</v>
      </c>
      <c r="AH452">
        <f t="shared" si="384"/>
        <v>10852.507496729</v>
      </c>
      <c r="AI452">
        <f t="shared" si="385"/>
        <v>1.5707041821912908</v>
      </c>
      <c r="AJ452" t="str">
        <f t="shared" si="367"/>
        <v>1+27,4922233824224i</v>
      </c>
      <c r="AK452">
        <f t="shared" si="386"/>
        <v>27.5104043319798</v>
      </c>
      <c r="AL452">
        <f t="shared" si="387"/>
        <v>1.5344384333236964</v>
      </c>
      <c r="AM452" t="str">
        <f t="shared" si="368"/>
        <v>1-1,72817574343684i</v>
      </c>
      <c r="AN452">
        <f t="shared" si="388"/>
        <v>1.9966450361051846</v>
      </c>
      <c r="AO452">
        <f t="shared" si="389"/>
        <v>-1.0462271571931236</v>
      </c>
      <c r="AP452" s="41" t="str">
        <f t="shared" si="390"/>
        <v>0,406658395255852-0,765531035957845i</v>
      </c>
      <c r="AQ452">
        <f t="shared" si="391"/>
        <v>-1.2412371299102303</v>
      </c>
      <c r="AR452" s="43">
        <f t="shared" si="392"/>
        <v>-62.022274870130609</v>
      </c>
      <c r="AS452" t="str">
        <f t="shared" si="369"/>
        <v>-0,0000166666666666667</v>
      </c>
      <c r="AT452" t="str">
        <f t="shared" si="370"/>
        <v>0,00209215819940234i</v>
      </c>
      <c r="AU452">
        <f t="shared" si="393"/>
        <v>2.0921581994023399E-3</v>
      </c>
      <c r="AV452">
        <f t="shared" si="394"/>
        <v>1.5707963267948966</v>
      </c>
      <c r="AW452" t="str">
        <f t="shared" si="371"/>
        <v>1+6,55694946637275i</v>
      </c>
      <c r="AX452">
        <f t="shared" si="395"/>
        <v>6.6327661126083655</v>
      </c>
      <c r="AY452">
        <f t="shared" si="396"/>
        <v>1.4194525740545645</v>
      </c>
      <c r="AZ452" t="str">
        <f t="shared" si="372"/>
        <v>1+453,62168580997i</v>
      </c>
      <c r="BA452">
        <f t="shared" si="397"/>
        <v>453.62278804870363</v>
      </c>
      <c r="BB452">
        <f t="shared" si="398"/>
        <v>1.5685918502203073</v>
      </c>
      <c r="BC452" s="41" t="str">
        <f t="shared" si="399"/>
        <v>-0,0809534342015825+0,53877383264313i</v>
      </c>
      <c r="BD452">
        <f t="shared" si="400"/>
        <v>-5.2749118191760447</v>
      </c>
      <c r="BE452" s="43">
        <f t="shared" si="401"/>
        <v>98.545051083933089</v>
      </c>
      <c r="BF452" s="41" t="str">
        <f t="shared" si="402"/>
        <v>0,338110360408622-0,165492671612539i</v>
      </c>
      <c r="BG452" s="20">
        <f t="shared" si="403"/>
        <v>-8.486104117985235</v>
      </c>
      <c r="BH452" s="43">
        <f t="shared" si="404"/>
        <v>-26.080059887784738</v>
      </c>
      <c r="BI452" s="41" t="str">
        <f t="shared" si="409"/>
        <v>0,379527696607408+0,281069268537183i</v>
      </c>
      <c r="BJ452" s="20">
        <f t="shared" si="405"/>
        <v>-6.5161489490862756</v>
      </c>
      <c r="BK452" s="43">
        <f t="shared" si="410"/>
        <v>36.522776213802508</v>
      </c>
      <c r="BL452">
        <f t="shared" si="406"/>
        <v>-8.486104117985235</v>
      </c>
      <c r="BM452" s="43">
        <f t="shared" si="407"/>
        <v>-26.080059887784738</v>
      </c>
    </row>
    <row r="453" spans="14:65" x14ac:dyDescent="0.25">
      <c r="N453" s="9">
        <v>35</v>
      </c>
      <c r="O453" s="34">
        <f t="shared" si="408"/>
        <v>223872.11385683404</v>
      </c>
      <c r="P453" s="33" t="str">
        <f t="shared" si="360"/>
        <v>54,631621870174</v>
      </c>
      <c r="Q453" s="4" t="str">
        <f t="shared" si="361"/>
        <v>1+11212,5995965786i</v>
      </c>
      <c r="R453" s="4">
        <f t="shared" si="373"/>
        <v>11212.599641171291</v>
      </c>
      <c r="S453" s="4">
        <f t="shared" si="374"/>
        <v>1.5707071414111919</v>
      </c>
      <c r="T453" s="4" t="str">
        <f t="shared" si="362"/>
        <v>1+28,13259952945i</v>
      </c>
      <c r="U453" s="4">
        <f t="shared" si="375"/>
        <v>28.150366894312597</v>
      </c>
      <c r="V453" s="4">
        <f t="shared" si="376"/>
        <v>1.5352653355539667</v>
      </c>
      <c r="W453" t="str">
        <f t="shared" si="363"/>
        <v>1-5,59745730307031i</v>
      </c>
      <c r="X453" s="4">
        <f t="shared" si="377"/>
        <v>5.6860819779260261</v>
      </c>
      <c r="Y453" s="4">
        <f t="shared" si="378"/>
        <v>-1.3940088608281092</v>
      </c>
      <c r="Z453" t="str">
        <f t="shared" si="364"/>
        <v>0,799525106549089+0,769045360968609i</v>
      </c>
      <c r="AA453" s="4">
        <f t="shared" si="379"/>
        <v>1.1093561931271985</v>
      </c>
      <c r="AB453" s="4">
        <f t="shared" si="380"/>
        <v>0.76596906483287375</v>
      </c>
      <c r="AC453" s="47" t="str">
        <f t="shared" si="381"/>
        <v>-0,411116811496153-0,570273250431627i</v>
      </c>
      <c r="AD453" s="20">
        <f t="shared" si="382"/>
        <v>-3.0607211517778987</v>
      </c>
      <c r="AE453" s="43">
        <f t="shared" si="383"/>
        <v>-125.78828487573762</v>
      </c>
      <c r="AF453" t="str">
        <f t="shared" si="365"/>
        <v>171,265703090588</v>
      </c>
      <c r="AG453" t="str">
        <f t="shared" si="366"/>
        <v>1+11105,2948229317i</v>
      </c>
      <c r="AH453">
        <f t="shared" si="384"/>
        <v>11105.294867955268</v>
      </c>
      <c r="AI453">
        <f t="shared" si="385"/>
        <v>1.5707062796585314</v>
      </c>
      <c r="AJ453" t="str">
        <f t="shared" si="367"/>
        <v>1+28,13259952945i</v>
      </c>
      <c r="AK453">
        <f t="shared" si="386"/>
        <v>28.150366894312597</v>
      </c>
      <c r="AL453">
        <f t="shared" si="387"/>
        <v>1.5352653355539667</v>
      </c>
      <c r="AM453" t="str">
        <f t="shared" si="368"/>
        <v>1-1,76843012768851i</v>
      </c>
      <c r="AN453">
        <f t="shared" si="388"/>
        <v>2.0315868469047538</v>
      </c>
      <c r="AO453">
        <f t="shared" si="389"/>
        <v>-1.0561510956250444</v>
      </c>
      <c r="AP453" s="41" t="str">
        <f t="shared" si="390"/>
        <v>0,40665832996357-0,782637454432227i</v>
      </c>
      <c r="AQ453">
        <f t="shared" si="391"/>
        <v>-1.0908048136350121</v>
      </c>
      <c r="AR453" s="43">
        <f t="shared" si="392"/>
        <v>-62.543616826583467</v>
      </c>
      <c r="AS453" t="str">
        <f t="shared" si="369"/>
        <v>-0,0000166666666666667</v>
      </c>
      <c r="AT453" t="str">
        <f t="shared" si="370"/>
        <v>0,00214089082419114i</v>
      </c>
      <c r="AU453">
        <f t="shared" si="393"/>
        <v>2.1408908241911401E-3</v>
      </c>
      <c r="AV453">
        <f t="shared" si="394"/>
        <v>1.5707963267948966</v>
      </c>
      <c r="AW453" t="str">
        <f t="shared" si="371"/>
        <v>1+6,70968043967828i</v>
      </c>
      <c r="AX453">
        <f t="shared" si="395"/>
        <v>6.783790356622271</v>
      </c>
      <c r="AY453">
        <f t="shared" si="396"/>
        <v>1.4228469571184086</v>
      </c>
      <c r="AZ453" t="str">
        <f t="shared" si="372"/>
        <v>1+464,187892235925i</v>
      </c>
      <c r="BA453">
        <f t="shared" si="397"/>
        <v>464.18896938470078</v>
      </c>
      <c r="BB453">
        <f t="shared" si="398"/>
        <v>1.5686420300764179</v>
      </c>
      <c r="BC453" s="41" t="str">
        <f t="shared" si="399"/>
        <v>-0,0773891020013863+0,527041065284281i</v>
      </c>
      <c r="BD453">
        <f t="shared" si="400"/>
        <v>-5.470467467282365</v>
      </c>
      <c r="BE453" s="43">
        <f t="shared" si="401"/>
        <v>98.353442354295865</v>
      </c>
      <c r="BF453" s="41" t="str">
        <f t="shared" si="402"/>
        <v>0,332373382269975-0,172542507540894i</v>
      </c>
      <c r="BG453" s="20">
        <f t="shared" si="403"/>
        <v>-8.531188619060261</v>
      </c>
      <c r="BH453" s="43">
        <f t="shared" si="404"/>
        <v>-27.434842521441713</v>
      </c>
      <c r="BI453" s="41" t="str">
        <f t="shared" si="409"/>
        <v>0,381011154738075+0,274893249221887i</v>
      </c>
      <c r="BJ453" s="20">
        <f t="shared" si="405"/>
        <v>-6.5612722809173762</v>
      </c>
      <c r="BK453" s="43">
        <f t="shared" si="410"/>
        <v>35.809825527712334</v>
      </c>
      <c r="BL453">
        <f t="shared" si="406"/>
        <v>-8.531188619060261</v>
      </c>
      <c r="BM453" s="43">
        <f t="shared" si="407"/>
        <v>-27.434842521441713</v>
      </c>
    </row>
    <row r="454" spans="14:65" x14ac:dyDescent="0.25">
      <c r="N454" s="9">
        <v>36</v>
      </c>
      <c r="O454" s="34">
        <f t="shared" si="408"/>
        <v>229086.76527677779</v>
      </c>
      <c r="P454" s="33" t="str">
        <f t="shared" si="360"/>
        <v>54,631621870174</v>
      </c>
      <c r="Q454" s="4" t="str">
        <f t="shared" si="361"/>
        <v>1+11473,7745924289i</v>
      </c>
      <c r="R454" s="4">
        <f t="shared" si="373"/>
        <v>11473.774636006536</v>
      </c>
      <c r="S454" s="4">
        <f t="shared" si="374"/>
        <v>1.5707091715183648</v>
      </c>
      <c r="T454" s="4" t="str">
        <f t="shared" si="362"/>
        <v>1+28,787891953127i</v>
      </c>
      <c r="U454" s="4">
        <f t="shared" si="375"/>
        <v>28.805255130009076</v>
      </c>
      <c r="V454" s="4">
        <f t="shared" si="376"/>
        <v>1.53607346216564</v>
      </c>
      <c r="W454" t="str">
        <f t="shared" si="363"/>
        <v>1-5,72783883282257i</v>
      </c>
      <c r="X454" s="4">
        <f t="shared" si="377"/>
        <v>5.8144765624078509</v>
      </c>
      <c r="Y454" s="4">
        <f t="shared" si="378"/>
        <v>-1.3979524662673557</v>
      </c>
      <c r="Z454" t="str">
        <f t="shared" si="364"/>
        <v>0,790077015900089+0,7869587286252i</v>
      </c>
      <c r="AA454" s="4">
        <f t="shared" si="379"/>
        <v>1.1151348490711699</v>
      </c>
      <c r="AB454" s="4">
        <f t="shared" si="380"/>
        <v>0.78342085678165718</v>
      </c>
      <c r="AC454" s="47" t="str">
        <f t="shared" si="381"/>
        <v>-0,430064250312596-0,57137894132377i</v>
      </c>
      <c r="AD454" s="20">
        <f t="shared" si="382"/>
        <v>-2.912145186757126</v>
      </c>
      <c r="AE454" s="43">
        <f t="shared" si="383"/>
        <v>-126.96796491948882</v>
      </c>
      <c r="AF454" t="str">
        <f t="shared" si="365"/>
        <v>171,265703090588</v>
      </c>
      <c r="AG454" t="str">
        <f t="shared" si="366"/>
        <v>1+11363,9703695178i</v>
      </c>
      <c r="AH454">
        <f t="shared" si="384"/>
        <v>11363.970413516505</v>
      </c>
      <c r="AI454">
        <f t="shared" si="385"/>
        <v>1.5707083293815893</v>
      </c>
      <c r="AJ454" t="str">
        <f t="shared" si="367"/>
        <v>1+28,787891953127i</v>
      </c>
      <c r="AK454">
        <f t="shared" si="386"/>
        <v>28.805255130009076</v>
      </c>
      <c r="AL454">
        <f t="shared" si="387"/>
        <v>1.53607346216564</v>
      </c>
      <c r="AM454" t="str">
        <f t="shared" si="368"/>
        <v>1-1,80962215700181i</v>
      </c>
      <c r="AN454">
        <f t="shared" si="388"/>
        <v>2.067542587496539</v>
      </c>
      <c r="AO454">
        <f t="shared" si="389"/>
        <v>-1.0659579627920674</v>
      </c>
      <c r="AP454" s="41" t="str">
        <f t="shared" si="390"/>
        <v>0,406658267609922-0,800158837643843i</v>
      </c>
      <c r="AQ454">
        <f t="shared" si="391"/>
        <v>-0.93867004885365124</v>
      </c>
      <c r="AR454" s="43">
        <f t="shared" si="392"/>
        <v>-63.059324121818676</v>
      </c>
      <c r="AS454" t="str">
        <f t="shared" si="369"/>
        <v>-0,0000166666666666667</v>
      </c>
      <c r="AT454" t="str">
        <f t="shared" si="370"/>
        <v>0,00219075857763296i</v>
      </c>
      <c r="AU454">
        <f t="shared" si="393"/>
        <v>2.1907585776329598E-3</v>
      </c>
      <c r="AV454">
        <f t="shared" si="394"/>
        <v>1.5707963267948966</v>
      </c>
      <c r="AW454" t="str">
        <f t="shared" si="371"/>
        <v>1+6,86596897436603i</v>
      </c>
      <c r="AX454">
        <f t="shared" si="395"/>
        <v>6.9384097570665944</v>
      </c>
      <c r="AY454">
        <f t="shared" si="396"/>
        <v>1.4261673964924317</v>
      </c>
      <c r="AZ454" t="str">
        <f t="shared" si="372"/>
        <v>1+475,000217226596i</v>
      </c>
      <c r="BA454">
        <f t="shared" si="397"/>
        <v>475.00126985652724</v>
      </c>
      <c r="BB454">
        <f t="shared" si="398"/>
        <v>1.5686910677100347</v>
      </c>
      <c r="BC454" s="41" t="str">
        <f t="shared" si="399"/>
        <v>-0,073978369557065+0,515540905049939i</v>
      </c>
      <c r="BD454">
        <f t="shared" si="400"/>
        <v>-5.6662188924534203</v>
      </c>
      <c r="BE454" s="43">
        <f t="shared" si="401"/>
        <v>98.166004841478795</v>
      </c>
      <c r="BF454" s="41" t="str">
        <f t="shared" si="402"/>
        <v>0,32638466857944-0,179446030357405i</v>
      </c>
      <c r="BG454" s="20">
        <f t="shared" si="403"/>
        <v>-8.5783640792105391</v>
      </c>
      <c r="BH454" s="43">
        <f t="shared" si="404"/>
        <v>-28.801960078010037</v>
      </c>
      <c r="BI454" s="41" t="str">
        <f t="shared" si="409"/>
        <v>0,382430695737931+0,268843417525227i</v>
      </c>
      <c r="BJ454" s="20">
        <f t="shared" si="405"/>
        <v>-6.6048889413070793</v>
      </c>
      <c r="BK454" s="43">
        <f t="shared" si="410"/>
        <v>35.106680719660126</v>
      </c>
      <c r="BL454">
        <f t="shared" si="406"/>
        <v>-8.5783640792105391</v>
      </c>
      <c r="BM454" s="43">
        <f t="shared" si="407"/>
        <v>-28.801960078010037</v>
      </c>
    </row>
    <row r="455" spans="14:65" x14ac:dyDescent="0.25">
      <c r="N455" s="9">
        <v>37</v>
      </c>
      <c r="O455" s="34">
        <f t="shared" si="408"/>
        <v>234422.88153199267</v>
      </c>
      <c r="P455" s="33" t="str">
        <f t="shared" si="360"/>
        <v>54,631621870174</v>
      </c>
      <c r="Q455" s="4" t="str">
        <f t="shared" si="361"/>
        <v>1+11741,0331354415i</v>
      </c>
      <c r="R455" s="4">
        <f t="shared" si="373"/>
        <v>11741.033178027188</v>
      </c>
      <c r="S455" s="4">
        <f t="shared" si="374"/>
        <v>1.5707111554146573</v>
      </c>
      <c r="T455" s="4" t="str">
        <f t="shared" si="362"/>
        <v>1+29,4584480981704i</v>
      </c>
      <c r="U455" s="4">
        <f t="shared" si="375"/>
        <v>29.475416271065608</v>
      </c>
      <c r="V455" s="4">
        <f t="shared" si="376"/>
        <v>1.536863237413634</v>
      </c>
      <c r="W455" t="str">
        <f t="shared" si="363"/>
        <v>1-5,86125733854092i</v>
      </c>
      <c r="X455" s="4">
        <f t="shared" si="377"/>
        <v>5.9459513611027619</v>
      </c>
      <c r="Y455" s="4">
        <f t="shared" si="378"/>
        <v>-1.4018115586360818</v>
      </c>
      <c r="Z455" t="str">
        <f t="shared" si="364"/>
        <v>0,780183650456948+0,80528935221634i</v>
      </c>
      <c r="AA455" s="4">
        <f t="shared" si="379"/>
        <v>1.1212392560169047</v>
      </c>
      <c r="AB455" s="4">
        <f t="shared" si="380"/>
        <v>0.80123167407954898</v>
      </c>
      <c r="AC455" s="47" t="str">
        <f t="shared" si="381"/>
        <v>-0,449420879182985-0,571842366846695i</v>
      </c>
      <c r="AD455" s="20">
        <f t="shared" si="382"/>
        <v>-2.7655843318670681</v>
      </c>
      <c r="AE455" s="43">
        <f t="shared" si="383"/>
        <v>-128.16442216622639</v>
      </c>
      <c r="AF455" t="str">
        <f t="shared" si="365"/>
        <v>171,265703090588</v>
      </c>
      <c r="AG455" t="str">
        <f t="shared" si="366"/>
        <v>1+11628,6712436137i</v>
      </c>
      <c r="AH455">
        <f t="shared" si="384"/>
        <v>11628.671286610874</v>
      </c>
      <c r="AI455">
        <f t="shared" si="385"/>
        <v>1.5707103324472549</v>
      </c>
      <c r="AJ455" t="str">
        <f t="shared" si="367"/>
        <v>1+29,4584480981704i</v>
      </c>
      <c r="AK455">
        <f t="shared" si="386"/>
        <v>29.475416271065608</v>
      </c>
      <c r="AL455">
        <f t="shared" si="387"/>
        <v>1.536863237413634</v>
      </c>
      <c r="AM455" t="str">
        <f t="shared" si="368"/>
        <v>1-1,85177367193593i</v>
      </c>
      <c r="AN455">
        <f t="shared" si="388"/>
        <v>2.1045345642386293</v>
      </c>
      <c r="AO455">
        <f t="shared" si="389"/>
        <v>-1.0756454123442576</v>
      </c>
      <c r="AP455" s="41" t="str">
        <f t="shared" si="390"/>
        <v>0,406658208062654-0,81810447566204i</v>
      </c>
      <c r="AQ455">
        <f t="shared" si="391"/>
        <v>-0.78487364849045016</v>
      </c>
      <c r="AR455" s="43">
        <f t="shared" si="392"/>
        <v>-63.569238074139804</v>
      </c>
      <c r="AS455" t="str">
        <f t="shared" si="369"/>
        <v>-0,0000166666666666667</v>
      </c>
      <c r="AT455" t="str">
        <f t="shared" si="370"/>
        <v>0,00224178790027076i</v>
      </c>
      <c r="AU455">
        <f t="shared" si="393"/>
        <v>2.2417879002707601E-3</v>
      </c>
      <c r="AV455">
        <f t="shared" si="394"/>
        <v>1.5707963267948966</v>
      </c>
      <c r="AW455" t="str">
        <f t="shared" si="371"/>
        <v>1+7,02589793668584i</v>
      </c>
      <c r="AX455">
        <f t="shared" si="395"/>
        <v>7.0967064062652572</v>
      </c>
      <c r="AY455">
        <f t="shared" si="396"/>
        <v>1.4294153596942554</v>
      </c>
      <c r="AZ455" t="str">
        <f t="shared" si="372"/>
        <v>1+486,064393619812i</v>
      </c>
      <c r="BA455">
        <f t="shared" si="397"/>
        <v>486.06542228901196</v>
      </c>
      <c r="BB455">
        <f t="shared" si="398"/>
        <v>1.5687389891206165</v>
      </c>
      <c r="BC455" s="41" t="str">
        <f t="shared" si="399"/>
        <v>-0,0707149056678775+0,504270251988588i</v>
      </c>
      <c r="BD455">
        <f t="shared" si="400"/>
        <v>-5.8621576497743373</v>
      </c>
      <c r="BE455" s="43">
        <f t="shared" si="401"/>
        <v>97.982655952575172</v>
      </c>
      <c r="BF455" s="41" t="str">
        <f t="shared" si="402"/>
        <v>0,320143849504133-0,186191800966077i</v>
      </c>
      <c r="BG455" s="20">
        <f t="shared" si="403"/>
        <v>-8.6277419816413996</v>
      </c>
      <c r="BH455" s="43">
        <f t="shared" si="404"/>
        <v>-30.18176621365124</v>
      </c>
      <c r="BI455" s="41" t="str">
        <f t="shared" si="409"/>
        <v>0,38378895327287+0,262917817875892i</v>
      </c>
      <c r="BJ455" s="20">
        <f t="shared" si="405"/>
        <v>-6.6470312982647828</v>
      </c>
      <c r="BK455" s="43">
        <f t="shared" si="410"/>
        <v>34.413417878435403</v>
      </c>
      <c r="BL455">
        <f t="shared" si="406"/>
        <v>-8.6277419816413996</v>
      </c>
      <c r="BM455" s="43">
        <f t="shared" si="407"/>
        <v>-30.18176621365124</v>
      </c>
    </row>
    <row r="456" spans="14:65" x14ac:dyDescent="0.25">
      <c r="N456" s="9">
        <v>38</v>
      </c>
      <c r="O456" s="34">
        <f t="shared" si="408"/>
        <v>239883.29190194907</v>
      </c>
      <c r="P456" s="33" t="str">
        <f t="shared" si="360"/>
        <v>54,631621870174</v>
      </c>
      <c r="Q456" s="4" t="str">
        <f t="shared" si="361"/>
        <v>1+12014,5169296334i</v>
      </c>
      <c r="R456" s="4">
        <f t="shared" si="373"/>
        <v>12014.516971249721</v>
      </c>
      <c r="S456" s="4">
        <f t="shared" si="374"/>
        <v>1.5707130941519574</v>
      </c>
      <c r="T456" s="4" t="str">
        <f t="shared" si="362"/>
        <v>1+30,144623502324i</v>
      </c>
      <c r="U456" s="4">
        <f t="shared" si="375"/>
        <v>30.161205647269213</v>
      </c>
      <c r="V456" s="4">
        <f t="shared" si="376"/>
        <v>1.5376350761040405</v>
      </c>
      <c r="W456" t="str">
        <f t="shared" si="363"/>
        <v>1-5,99778356048305i</v>
      </c>
      <c r="X456" s="4">
        <f t="shared" si="377"/>
        <v>6.0805762587439629</v>
      </c>
      <c r="Y456" s="4">
        <f t="shared" si="378"/>
        <v>-1.4055877240711012</v>
      </c>
      <c r="Z456" t="str">
        <f t="shared" si="364"/>
        <v>0,769824025065136+0,824046950881287i</v>
      </c>
      <c r="AA456" s="4">
        <f t="shared" si="379"/>
        <v>1.127688967235307</v>
      </c>
      <c r="AB456" s="4">
        <f t="shared" si="380"/>
        <v>0.81940469409811079</v>
      </c>
      <c r="AC456" s="47" t="str">
        <f t="shared" si="381"/>
        <v>-0,46916682818774-0,57162231454552i</v>
      </c>
      <c r="AD456" s="20">
        <f t="shared" si="382"/>
        <v>-2.621162313774982</v>
      </c>
      <c r="AE456" s="43">
        <f t="shared" si="383"/>
        <v>-129.37790583850619</v>
      </c>
      <c r="AF456" t="str">
        <f t="shared" si="365"/>
        <v>171,265703090588</v>
      </c>
      <c r="AG456" t="str">
        <f t="shared" si="366"/>
        <v>1+11899,5377931266i</v>
      </c>
      <c r="AH456">
        <f t="shared" si="384"/>
        <v>11899.537835145036</v>
      </c>
      <c r="AI456">
        <f t="shared" si="385"/>
        <v>1.5707122899175801</v>
      </c>
      <c r="AJ456" t="str">
        <f t="shared" si="367"/>
        <v>1+30,144623502324i</v>
      </c>
      <c r="AK456">
        <f t="shared" si="386"/>
        <v>30.161205647269213</v>
      </c>
      <c r="AL456">
        <f t="shared" si="387"/>
        <v>1.5376350761040405</v>
      </c>
      <c r="AM456" t="str">
        <f t="shared" si="368"/>
        <v>1-1,89490702178204i</v>
      </c>
      <c r="AN456">
        <f t="shared" si="388"/>
        <v>2.1425854991572404</v>
      </c>
      <c r="AO456">
        <f t="shared" si="389"/>
        <v>-1.0852113068515876</v>
      </c>
      <c r="AP456" s="41" t="str">
        <f t="shared" si="390"/>
        <v>0,406658151195454-0,836483883501667i</v>
      </c>
      <c r="AQ456">
        <f t="shared" si="391"/>
        <v>-0.62945666617231122</v>
      </c>
      <c r="AR456" s="43">
        <f t="shared" si="392"/>
        <v>-64.073212512040101</v>
      </c>
      <c r="AS456" t="str">
        <f t="shared" si="369"/>
        <v>-0,0000166666666666667</v>
      </c>
      <c r="AT456" t="str">
        <f t="shared" si="370"/>
        <v>0,00229400584852685i</v>
      </c>
      <c r="AU456">
        <f t="shared" si="393"/>
        <v>2.2940058485268499E-3</v>
      </c>
      <c r="AV456">
        <f t="shared" si="394"/>
        <v>1.5707963267948966</v>
      </c>
      <c r="AW456" t="str">
        <f t="shared" si="371"/>
        <v>1+7,18955212309041i</v>
      </c>
      <c r="AX456">
        <f t="shared" si="395"/>
        <v>7.2587643391030285</v>
      </c>
      <c r="AY456">
        <f t="shared" si="396"/>
        <v>1.4325922945849601</v>
      </c>
      <c r="AZ456" t="str">
        <f t="shared" si="372"/>
        <v>1+497,386287788346i</v>
      </c>
      <c r="BA456">
        <f t="shared" si="397"/>
        <v>497.38729304222414</v>
      </c>
      <c r="BB456">
        <f t="shared" si="398"/>
        <v>1.5687858197158482</v>
      </c>
      <c r="BC456" s="41" t="str">
        <f t="shared" si="399"/>
        <v>-0,067592615181147+0,493225941303994i</v>
      </c>
      <c r="BD456">
        <f t="shared" si="400"/>
        <v>-6.0582756431273452</v>
      </c>
      <c r="BE456" s="43">
        <f t="shared" si="401"/>
        <v>97.803314187008809</v>
      </c>
      <c r="BF456" s="41" t="str">
        <f t="shared" si="402"/>
        <v>0,313651167035535-0,192767803325475i</v>
      </c>
      <c r="BG456" s="20">
        <f t="shared" si="403"/>
        <v>-8.6794379569023334</v>
      </c>
      <c r="BH456" s="43">
        <f t="shared" si="404"/>
        <v>-31.574591651497347</v>
      </c>
      <c r="BI456" s="41" t="str">
        <f t="shared" si="409"/>
        <v>0,385088462901699+0,257114482655079i</v>
      </c>
      <c r="BJ456" s="20">
        <f t="shared" si="405"/>
        <v>-6.687732309299661</v>
      </c>
      <c r="BK456" s="43">
        <f t="shared" si="410"/>
        <v>33.730101674968715</v>
      </c>
      <c r="BL456">
        <f t="shared" si="406"/>
        <v>-8.6794379569023334</v>
      </c>
      <c r="BM456" s="43">
        <f t="shared" si="407"/>
        <v>-31.574591651497347</v>
      </c>
    </row>
    <row r="457" spans="14:65" x14ac:dyDescent="0.25">
      <c r="N457" s="9">
        <v>39</v>
      </c>
      <c r="O457" s="34">
        <f t="shared" si="408"/>
        <v>245470.89156850305</v>
      </c>
      <c r="P457" s="33" t="str">
        <f t="shared" si="360"/>
        <v>54,631621870174</v>
      </c>
      <c r="Q457" s="4" t="str">
        <f t="shared" si="361"/>
        <v>1+12294,3709797323i</v>
      </c>
      <c r="R457" s="4">
        <f t="shared" si="373"/>
        <v>12294.371020401319</v>
      </c>
      <c r="S457" s="4">
        <f t="shared" si="374"/>
        <v>1.5707149887582095</v>
      </c>
      <c r="T457" s="4" t="str">
        <f t="shared" si="362"/>
        <v>1+30,8467819848698i</v>
      </c>
      <c r="U457" s="4">
        <f t="shared" si="375"/>
        <v>30.862986874605774</v>
      </c>
      <c r="V457" s="4">
        <f t="shared" si="376"/>
        <v>1.5383893837953573</v>
      </c>
      <c r="W457" t="str">
        <f t="shared" si="363"/>
        <v>1-6,137489886659i</v>
      </c>
      <c r="X457" s="4">
        <f t="shared" si="377"/>
        <v>6.2184227991381782</v>
      </c>
      <c r="Y457" s="4">
        <f t="shared" si="378"/>
        <v>-1.4092825337609793</v>
      </c>
      <c r="Z457" t="str">
        <f t="shared" si="364"/>
        <v>0,758976165570257+0,843241470147141i</v>
      </c>
      <c r="AA457" s="4">
        <f t="shared" si="379"/>
        <v>1.1345047363848428</v>
      </c>
      <c r="AB457" s="4">
        <f t="shared" si="380"/>
        <v>0.83794267317321636</v>
      </c>
      <c r="AC457" s="47" t="str">
        <f t="shared" si="381"/>
        <v>-0,489278810684265-0,570677184316684i</v>
      </c>
      <c r="AD457" s="20">
        <f t="shared" si="382"/>
        <v>-2.4790066715989063</v>
      </c>
      <c r="AE457" s="43">
        <f t="shared" si="383"/>
        <v>-130.60864070732092</v>
      </c>
      <c r="AF457" t="str">
        <f t="shared" si="365"/>
        <v>171,265703090588</v>
      </c>
      <c r="AG457" t="str">
        <f t="shared" si="366"/>
        <v>1+12176,7136350864i</v>
      </c>
      <c r="AH457">
        <f t="shared" si="384"/>
        <v>12176.713676148382</v>
      </c>
      <c r="AI457">
        <f t="shared" si="385"/>
        <v>1.5707142028304413</v>
      </c>
      <c r="AJ457" t="str">
        <f t="shared" si="367"/>
        <v>1+30,8467819848698i</v>
      </c>
      <c r="AK457">
        <f t="shared" si="386"/>
        <v>30.862986874605774</v>
      </c>
      <c r="AL457">
        <f t="shared" si="387"/>
        <v>1.5383893837953573</v>
      </c>
      <c r="AM457" t="str">
        <f t="shared" si="368"/>
        <v>1-1,93904507641315i</v>
      </c>
      <c r="AN457">
        <f t="shared" si="388"/>
        <v>2.1817185447170031</v>
      </c>
      <c r="AO457">
        <f t="shared" si="389"/>
        <v>-1.0946537147403557</v>
      </c>
      <c r="AP457" s="41" t="str">
        <f t="shared" si="390"/>
        <v>0,4066580968877-0,855306806168068i</v>
      </c>
      <c r="AQ457">
        <f t="shared" si="391"/>
        <v>-0.47246030062077732</v>
      </c>
      <c r="AR457" s="43">
        <f t="shared" si="392"/>
        <v>-64.571113587174352</v>
      </c>
      <c r="AS457" t="str">
        <f t="shared" si="369"/>
        <v>-0,0000166666666666667</v>
      </c>
      <c r="AT457" t="str">
        <f t="shared" si="370"/>
        <v>0,00234744010904859i</v>
      </c>
      <c r="AU457">
        <f t="shared" si="393"/>
        <v>2.3474401090485902E-3</v>
      </c>
      <c r="AV457">
        <f t="shared" si="394"/>
        <v>1.5707963267948966</v>
      </c>
      <c r="AW457" t="str">
        <f t="shared" si="371"/>
        <v>1+7,35701830519562i</v>
      </c>
      <c r="AX457">
        <f t="shared" si="395"/>
        <v>7.4246695780339911</v>
      </c>
      <c r="AY457">
        <f t="shared" si="396"/>
        <v>1.435699628966786</v>
      </c>
      <c r="AZ457" t="str">
        <f t="shared" si="372"/>
        <v>1+508,971902750352i</v>
      </c>
      <c r="BA457">
        <f t="shared" si="397"/>
        <v>508.97288512190283</v>
      </c>
      <c r="BB457">
        <f t="shared" si="398"/>
        <v>1.5688315843251095</v>
      </c>
      <c r="BC457" s="41" t="str">
        <f t="shared" si="399"/>
        <v>-0,0646056323845001+0,482404752718318i</v>
      </c>
      <c r="BD457">
        <f t="shared" si="400"/>
        <v>-6.2545651121251966</v>
      </c>
      <c r="BE457" s="43">
        <f t="shared" si="401"/>
        <v>97.62789916035598</v>
      </c>
      <c r="BF457" s="41" t="str">
        <f t="shared" si="402"/>
        <v>0,306907552958869-0,19916146329827i</v>
      </c>
      <c r="BG457" s="20">
        <f t="shared" si="403"/>
        <v>-8.7335717837241091</v>
      </c>
      <c r="BH457" s="43">
        <f t="shared" si="404"/>
        <v>-32.980741546964886</v>
      </c>
      <c r="BI457" s="41" t="str">
        <f t="shared" si="409"/>
        <v>0,386331664814094+0,251431435765268i</v>
      </c>
      <c r="BJ457" s="20">
        <f t="shared" si="405"/>
        <v>-6.7270254127459728</v>
      </c>
      <c r="BK457" s="43">
        <f t="shared" si="410"/>
        <v>33.056785573181664</v>
      </c>
      <c r="BL457">
        <f t="shared" si="406"/>
        <v>-8.7335717837241091</v>
      </c>
      <c r="BM457" s="43">
        <f t="shared" si="407"/>
        <v>-32.980741546964886</v>
      </c>
    </row>
    <row r="458" spans="14:65" x14ac:dyDescent="0.25">
      <c r="N458" s="9">
        <v>40</v>
      </c>
      <c r="O458" s="34">
        <f t="shared" si="408"/>
        <v>251188.64315095844</v>
      </c>
      <c r="P458" s="33" t="str">
        <f t="shared" si="360"/>
        <v>54,631621870174</v>
      </c>
      <c r="Q458" s="4" t="str">
        <f t="shared" si="361"/>
        <v>1+12580,74366806i</v>
      </c>
      <c r="R458" s="4">
        <f t="shared" si="373"/>
        <v>12580.743707803278</v>
      </c>
      <c r="S458" s="4">
        <f t="shared" si="374"/>
        <v>1.5707168402379585</v>
      </c>
      <c r="T458" s="4" t="str">
        <f t="shared" si="362"/>
        <v>1+31,5652958395296i</v>
      </c>
      <c r="U458" s="4">
        <f t="shared" si="375"/>
        <v>31.581132048060354</v>
      </c>
      <c r="V458" s="4">
        <f t="shared" si="376"/>
        <v>1.5391265569960555</v>
      </c>
      <c r="W458" t="str">
        <f t="shared" si="363"/>
        <v>1-6,28045039121218i</v>
      </c>
      <c r="X458" s="4">
        <f t="shared" si="377"/>
        <v>6.3595642237874461</v>
      </c>
      <c r="Y458" s="4">
        <f t="shared" si="378"/>
        <v>-1.412897543017402</v>
      </c>
      <c r="Z458" t="str">
        <f t="shared" si="364"/>
        <v>0,747617062207921+0,862883087202094i</v>
      </c>
      <c r="AA458" s="4">
        <f t="shared" si="379"/>
        <v>1.1417085853596001</v>
      </c>
      <c r="AB458" s="4">
        <f t="shared" si="380"/>
        <v>0.85684789993021082</v>
      </c>
      <c r="AC458" s="47" t="str">
        <f t="shared" si="381"/>
        <v>-0,50972992283342-0,568965240749157i</v>
      </c>
      <c r="AD458" s="20">
        <f t="shared" si="382"/>
        <v>-2.3392487419610246</v>
      </c>
      <c r="AE458" s="43">
        <f t="shared" si="383"/>
        <v>-131.85682435333368</v>
      </c>
      <c r="AF458" t="str">
        <f t="shared" si="365"/>
        <v>171,265703090588</v>
      </c>
      <c r="AG458" t="str">
        <f t="shared" si="366"/>
        <v>1+12460,3457317935i</v>
      </c>
      <c r="AH458">
        <f t="shared" si="384"/>
        <v>12460.345771920798</v>
      </c>
      <c r="AI458">
        <f t="shared" si="385"/>
        <v>1.5707160722000901</v>
      </c>
      <c r="AJ458" t="str">
        <f t="shared" si="367"/>
        <v>1+31,5652958395296i</v>
      </c>
      <c r="AK458">
        <f t="shared" si="386"/>
        <v>31.581132048060354</v>
      </c>
      <c r="AL458">
        <f t="shared" si="387"/>
        <v>1.5391265569960555</v>
      </c>
      <c r="AM458" t="str">
        <f t="shared" si="368"/>
        <v>1-1,98421123841008i</v>
      </c>
      <c r="AN458">
        <f t="shared" si="388"/>
        <v>2.2219572990120366</v>
      </c>
      <c r="AO458">
        <f t="shared" si="389"/>
        <v>-1.1039709066244432</v>
      </c>
      <c r="AP458" s="41" t="str">
        <f t="shared" si="390"/>
        <v>0,406658045024196-0,874583223824024i</v>
      </c>
      <c r="AQ458">
        <f t="shared" si="391"/>
        <v>-0.31392580416580779</v>
      </c>
      <c r="AR458" s="43">
        <f t="shared" si="392"/>
        <v>-65.062819552867225</v>
      </c>
      <c r="AS458" t="str">
        <f t="shared" si="369"/>
        <v>-0,0000166666666666667</v>
      </c>
      <c r="AT458" t="str">
        <f t="shared" si="370"/>
        <v>0,0024021190133882i</v>
      </c>
      <c r="AU458">
        <f t="shared" si="393"/>
        <v>2.4021190133882001E-3</v>
      </c>
      <c r="AV458">
        <f t="shared" si="394"/>
        <v>1.5707963267948966</v>
      </c>
      <c r="AW458" t="str">
        <f t="shared" si="371"/>
        <v>1+7,52838527578794i</v>
      </c>
      <c r="AX458">
        <f t="shared" si="395"/>
        <v>7.5945101791162708</v>
      </c>
      <c r="AY458">
        <f t="shared" si="396"/>
        <v>1.4387387702396508</v>
      </c>
      <c r="AZ458" t="str">
        <f t="shared" si="372"/>
        <v>1+520,827381352238i</v>
      </c>
      <c r="BA458">
        <f t="shared" si="397"/>
        <v>520.82834136232407</v>
      </c>
      <c r="BB458">
        <f t="shared" si="398"/>
        <v>1.5688763072126344</v>
      </c>
      <c r="BC458" s="41" t="str">
        <f t="shared" si="399"/>
        <v>-0,0617483143774858+0,471803419212931i</v>
      </c>
      <c r="BD458">
        <f t="shared" si="400"/>
        <v>-6.451018619416331</v>
      </c>
      <c r="BE458" s="43">
        <f t="shared" si="401"/>
        <v>97.456331624779679</v>
      </c>
      <c r="BF458" s="41" t="str">
        <f t="shared" si="402"/>
        <v>0,29991470952149-0,20535967591231i</v>
      </c>
      <c r="BG458" s="20">
        <f t="shared" si="403"/>
        <v>-8.7902673613773636</v>
      </c>
      <c r="BH458" s="43">
        <f t="shared" si="404"/>
        <v>-34.400492728554006</v>
      </c>
      <c r="BI458" s="41" t="str">
        <f t="shared" si="409"/>
        <v>0,387520906578155+0,245866695946823i</v>
      </c>
      <c r="BJ458" s="20">
        <f t="shared" si="405"/>
        <v>-6.7649444235821301</v>
      </c>
      <c r="BK458" s="43">
        <f t="shared" si="410"/>
        <v>32.393512071912497</v>
      </c>
      <c r="BL458">
        <f t="shared" si="406"/>
        <v>-8.7902673613773636</v>
      </c>
      <c r="BM458" s="43">
        <f t="shared" si="407"/>
        <v>-34.400492728554006</v>
      </c>
    </row>
    <row r="459" spans="14:65" x14ac:dyDescent="0.25">
      <c r="N459" s="9">
        <v>41</v>
      </c>
      <c r="O459" s="34">
        <f t="shared" si="408"/>
        <v>257039.57827688678</v>
      </c>
      <c r="P459" s="33" t="str">
        <f t="shared" si="360"/>
        <v>54,631621870174</v>
      </c>
      <c r="Q459" s="4" t="str">
        <f t="shared" si="361"/>
        <v>1+12873,7868332062i</v>
      </c>
      <c r="R459" s="4">
        <f t="shared" si="373"/>
        <v>12873.786872044811</v>
      </c>
      <c r="S459" s="4">
        <f t="shared" si="374"/>
        <v>1.5707186495728838</v>
      </c>
      <c r="T459" s="4" t="str">
        <f t="shared" si="362"/>
        <v>1+32,3005460318594i</v>
      </c>
      <c r="U459" s="4">
        <f t="shared" si="375"/>
        <v>32.316021938912399</v>
      </c>
      <c r="V459" s="4">
        <f t="shared" si="376"/>
        <v>1.5398469833585084</v>
      </c>
      <c r="W459" t="str">
        <f t="shared" si="363"/>
        <v>1-6,42674087369433i</v>
      </c>
      <c r="X459" s="4">
        <f t="shared" si="377"/>
        <v>6.504075511370802</v>
      </c>
      <c r="Y459" s="4">
        <f t="shared" si="378"/>
        <v>-1.4164342904377465</v>
      </c>
      <c r="Z459" t="str">
        <f t="shared" si="364"/>
        <v>0,735722620796961+0,882982216291483i</v>
      </c>
      <c r="AA459" s="4">
        <f t="shared" si="379"/>
        <v>1.1493238747365202</v>
      </c>
      <c r="AB459" s="4">
        <f t="shared" si="380"/>
        <v>0.87612214643337816</v>
      </c>
      <c r="AC459" s="47" t="str">
        <f t="shared" si="381"/>
        <v>-0,53048945533593-0,566444899651306i</v>
      </c>
      <c r="AD459" s="20">
        <f t="shared" si="382"/>
        <v>-2.2020236115226002</v>
      </c>
      <c r="AE459" s="43">
        <f t="shared" si="383"/>
        <v>-133.12262430888586</v>
      </c>
      <c r="AF459" t="str">
        <f t="shared" si="365"/>
        <v>171,265703090588</v>
      </c>
      <c r="AG459" t="str">
        <f t="shared" si="366"/>
        <v>1+12750,5844687396i</v>
      </c>
      <c r="AH459">
        <f t="shared" si="384"/>
        <v>12750.584507953488</v>
      </c>
      <c r="AI459">
        <f t="shared" si="385"/>
        <v>1.5707178990176915</v>
      </c>
      <c r="AJ459" t="str">
        <f t="shared" si="367"/>
        <v>1+32,3005460318594i</v>
      </c>
      <c r="AK459">
        <f t="shared" si="386"/>
        <v>32.316021938912399</v>
      </c>
      <c r="AL459">
        <f t="shared" si="387"/>
        <v>1.5398469833585084</v>
      </c>
      <c r="AM459" t="str">
        <f t="shared" si="368"/>
        <v>1-2,03042945546975i</v>
      </c>
      <c r="AN459">
        <f t="shared" si="388"/>
        <v>2.2633258213609428</v>
      </c>
      <c r="AO459">
        <f t="shared" si="389"/>
        <v>-1.1131613510864966</v>
      </c>
      <c r="AP459" s="41" t="str">
        <f t="shared" si="390"/>
        <v>0,406657995494937-0,894323357081357i</v>
      </c>
      <c r="AQ459">
        <f t="shared" si="391"/>
        <v>-0.15389439563447252</v>
      </c>
      <c r="AR459" s="43">
        <f t="shared" si="392"/>
        <v>-65.548220511312266</v>
      </c>
      <c r="AS459" t="str">
        <f t="shared" si="369"/>
        <v>-0,0000166666666666667</v>
      </c>
      <c r="AT459" t="str">
        <f t="shared" si="370"/>
        <v>0,0024580715530245i</v>
      </c>
      <c r="AU459">
        <f t="shared" si="393"/>
        <v>2.4580715530244999E-3</v>
      </c>
      <c r="AV459">
        <f t="shared" si="394"/>
        <v>1.5707963267948966</v>
      </c>
      <c r="AW459" t="str">
        <f t="shared" si="371"/>
        <v>1+7,70374389590339i</v>
      </c>
      <c r="AX459">
        <f t="shared" si="395"/>
        <v>7.768376279099046</v>
      </c>
      <c r="AY459">
        <f t="shared" si="396"/>
        <v>1.441711105112548</v>
      </c>
      <c r="AZ459" t="str">
        <f t="shared" si="372"/>
        <v>1+532,95900952568i</v>
      </c>
      <c r="BA459">
        <f t="shared" si="397"/>
        <v>532.95994768330752</v>
      </c>
      <c r="BB459">
        <f t="shared" si="398"/>
        <v>1.5689200120903741</v>
      </c>
      <c r="BC459" s="41" t="str">
        <f t="shared" si="399"/>
        <v>-0,0590152344471891+0,461418635176798i</v>
      </c>
      <c r="BD459">
        <f t="shared" si="400"/>
        <v>-6.6476290383618073</v>
      </c>
      <c r="BE459" s="43">
        <f t="shared" si="401"/>
        <v>97.288533486301702</v>
      </c>
      <c r="BF459" s="41" t="str">
        <f t="shared" si="402"/>
        <v>0,292675192078375-0,211348841902451i</v>
      </c>
      <c r="BG459" s="20">
        <f t="shared" si="403"/>
        <v>-8.8496526498844226</v>
      </c>
      <c r="BH459" s="43">
        <f t="shared" si="404"/>
        <v>-35.834090822584152</v>
      </c>
      <c r="BI459" s="41" t="str">
        <f t="shared" si="409"/>
        <v>0,388658445887254+0,24041827985476i</v>
      </c>
      <c r="BJ459" s="20">
        <f t="shared" si="405"/>
        <v>-6.801523433996282</v>
      </c>
      <c r="BK459" s="43">
        <f t="shared" si="410"/>
        <v>31.740312974989486</v>
      </c>
      <c r="BL459">
        <f t="shared" si="406"/>
        <v>-8.8496526498844226</v>
      </c>
      <c r="BM459" s="43">
        <f t="shared" si="407"/>
        <v>-35.834090822584152</v>
      </c>
    </row>
    <row r="460" spans="14:65" x14ac:dyDescent="0.25">
      <c r="N460" s="9">
        <v>42</v>
      </c>
      <c r="O460" s="34">
        <f t="shared" si="408"/>
        <v>263026.79918953858</v>
      </c>
      <c r="P460" s="33" t="str">
        <f t="shared" si="360"/>
        <v>54,631621870174</v>
      </c>
      <c r="Q460" s="4" t="str">
        <f t="shared" si="361"/>
        <v>1+13173,6558505361i</v>
      </c>
      <c r="R460" s="4">
        <f t="shared" si="373"/>
        <v>13173.655888490635</v>
      </c>
      <c r="S460" s="4">
        <f t="shared" si="374"/>
        <v>1.5707204177223184</v>
      </c>
      <c r="T460" s="4" t="str">
        <f t="shared" si="362"/>
        <v>1+33,0529224012436i</v>
      </c>
      <c r="U460" s="4">
        <f t="shared" si="375"/>
        <v>33.068046196632643</v>
      </c>
      <c r="V460" s="4">
        <f t="shared" si="376"/>
        <v>1.5405510418693067</v>
      </c>
      <c r="W460" t="str">
        <f t="shared" si="363"/>
        <v>1-6,57643889925569i</v>
      </c>
      <c r="X460" s="4">
        <f t="shared" si="377"/>
        <v>6.6520334181093377</v>
      </c>
      <c r="Y460" s="4">
        <f t="shared" si="378"/>
        <v>-1.4198942971535682</v>
      </c>
      <c r="Z460" t="str">
        <f t="shared" si="364"/>
        <v>0,723267611632425+0,903549514239603i</v>
      </c>
      <c r="AA460" s="4">
        <f t="shared" si="379"/>
        <v>1.1573753767551369</v>
      </c>
      <c r="AB460" s="4">
        <f t="shared" si="380"/>
        <v>0.89576661737464425</v>
      </c>
      <c r="AC460" s="47" t="str">
        <f t="shared" si="381"/>
        <v>-0,551522722080288-0,563075049736789i</v>
      </c>
      <c r="AD460" s="20">
        <f t="shared" si="382"/>
        <v>-2.0674700332246583</v>
      </c>
      <c r="AE460" s="43">
        <f t="shared" si="383"/>
        <v>-134.40617509279258</v>
      </c>
      <c r="AF460" t="str">
        <f t="shared" si="365"/>
        <v>171,265703090588</v>
      </c>
      <c r="AG460" t="str">
        <f t="shared" si="366"/>
        <v>1+13047,5837343451i</v>
      </c>
      <c r="AH460">
        <f t="shared" si="384"/>
        <v>13047.583772666372</v>
      </c>
      <c r="AI460">
        <f t="shared" si="385"/>
        <v>1.5707196842518478</v>
      </c>
      <c r="AJ460" t="str">
        <f t="shared" si="367"/>
        <v>1+33,0529224012436i</v>
      </c>
      <c r="AK460">
        <f t="shared" si="386"/>
        <v>33.068046196632643</v>
      </c>
      <c r="AL460">
        <f t="shared" si="387"/>
        <v>1.5405510418693067</v>
      </c>
      <c r="AM460" t="str">
        <f t="shared" si="368"/>
        <v>1-2,07772423310262i</v>
      </c>
      <c r="AN460">
        <f t="shared" si="388"/>
        <v>2.3058486482902283</v>
      </c>
      <c r="AO460">
        <f t="shared" si="389"/>
        <v>-1.1222237099645289</v>
      </c>
      <c r="AP460" s="41" t="str">
        <f t="shared" si="390"/>
        <v>0,406657948194858-0,914537672420022i</v>
      </c>
      <c r="AQ460">
        <f t="shared" si="391"/>
        <v>7.5928221827141528E-3</v>
      </c>
      <c r="AR460" s="43">
        <f t="shared" si="392"/>
        <v>-66.027218132639945</v>
      </c>
      <c r="AS460" t="str">
        <f t="shared" si="369"/>
        <v>-0,0000166666666666667</v>
      </c>
      <c r="AT460" t="str">
        <f t="shared" si="370"/>
        <v>0,00251532739473464i</v>
      </c>
      <c r="AU460">
        <f t="shared" si="393"/>
        <v>2.5153273947346399E-3</v>
      </c>
      <c r="AV460">
        <f t="shared" si="394"/>
        <v>1.5707963267948966</v>
      </c>
      <c r="AW460" t="str">
        <f t="shared" si="371"/>
        <v>1+7,88318714300356i</v>
      </c>
      <c r="AX460">
        <f t="shared" si="395"/>
        <v>7.9463601435887998</v>
      </c>
      <c r="AY460">
        <f t="shared" si="396"/>
        <v>1.4446179993661001</v>
      </c>
      <c r="AZ460" t="str">
        <f t="shared" si="372"/>
        <v>1+545,37321962052i</v>
      </c>
      <c r="BA460">
        <f t="shared" si="397"/>
        <v>545.37413642310901</v>
      </c>
      <c r="BB460">
        <f t="shared" si="398"/>
        <v>1.5689627221305651</v>
      </c>
      <c r="BC460" s="41" t="str">
        <f t="shared" si="399"/>
        <v>-0,056401175469773+0,451247063991608i</v>
      </c>
      <c r="BD460">
        <f t="shared" si="400"/>
        <v>-6.8443895410840696</v>
      </c>
      <c r="BE460" s="43">
        <f t="shared" si="401"/>
        <v>97.124427819128115</v>
      </c>
      <c r="BF460" s="41" t="str">
        <f t="shared" si="402"/>
        <v>0,285192492824272-0,217114914380534i</v>
      </c>
      <c r="BG460" s="20">
        <f t="shared" si="403"/>
        <v>-8.9118595743087212</v>
      </c>
      <c r="BH460" s="43">
        <f t="shared" si="404"/>
        <v>-37.281747273664472</v>
      </c>
      <c r="BI460" s="41" t="str">
        <f t="shared" si="409"/>
        <v>0,389746453296938+0,235084204907661i</v>
      </c>
      <c r="BJ460" s="20">
        <f t="shared" si="405"/>
        <v>-6.8367967189013488</v>
      </c>
      <c r="BK460" s="43">
        <f t="shared" si="410"/>
        <v>31.097209686488213</v>
      </c>
      <c r="BL460">
        <f t="shared" si="406"/>
        <v>-8.9118595743087212</v>
      </c>
      <c r="BM460" s="43">
        <f t="shared" si="407"/>
        <v>-37.281747273664472</v>
      </c>
    </row>
    <row r="461" spans="14:65" x14ac:dyDescent="0.25">
      <c r="N461" s="9">
        <v>43</v>
      </c>
      <c r="O461" s="34">
        <f t="shared" si="408"/>
        <v>269153.48039269145</v>
      </c>
      <c r="P461" s="33" t="str">
        <f t="shared" si="360"/>
        <v>54,631621870174</v>
      </c>
      <c r="Q461" s="4" t="str">
        <f t="shared" si="361"/>
        <v>1+13480,509714572i</v>
      </c>
      <c r="R461" s="4">
        <f t="shared" si="373"/>
        <v>13480.509751662585</v>
      </c>
      <c r="S461" s="4">
        <f t="shared" si="374"/>
        <v>1.5707221456237586</v>
      </c>
      <c r="T461" s="4" t="str">
        <f t="shared" si="362"/>
        <v>1+33,8228238675922i</v>
      </c>
      <c r="U461" s="4">
        <f t="shared" si="375"/>
        <v>33.837603555484904</v>
      </c>
      <c r="V461" s="4">
        <f t="shared" si="376"/>
        <v>1.54123910303599</v>
      </c>
      <c r="W461" t="str">
        <f t="shared" si="363"/>
        <v>1-6,72962383977092i</v>
      </c>
      <c r="X461" s="4">
        <f t="shared" si="377"/>
        <v>6.8035165190372755</v>
      </c>
      <c r="Y461" s="4">
        <f t="shared" si="378"/>
        <v>-1.4232790661598862</v>
      </c>
      <c r="Z461" t="str">
        <f t="shared" si="364"/>
        <v>0,710225615970003+0,924595886100067i</v>
      </c>
      <c r="AA461" s="4">
        <f t="shared" si="379"/>
        <v>1.1658893507418009</v>
      </c>
      <c r="AB461" s="4">
        <f t="shared" si="380"/>
        <v>0.91578189758039263</v>
      </c>
      <c r="AC461" s="47" t="str">
        <f t="shared" si="381"/>
        <v>-0,572790910897363-0,558815409901725i</v>
      </c>
      <c r="AD461" s="20">
        <f t="shared" si="382"/>
        <v>-1.9357303024074046</v>
      </c>
      <c r="AE461" s="43">
        <f t="shared" si="383"/>
        <v>-135.70757515360452</v>
      </c>
      <c r="AF461" t="str">
        <f t="shared" si="365"/>
        <v>171,265703090588</v>
      </c>
      <c r="AG461" t="str">
        <f t="shared" si="366"/>
        <v>1+13351,5010015517i</v>
      </c>
      <c r="AH461">
        <f t="shared" si="384"/>
        <v>13351.501039000672</v>
      </c>
      <c r="AI461">
        <f t="shared" si="385"/>
        <v>1.570721428849114</v>
      </c>
      <c r="AJ461" t="str">
        <f t="shared" si="367"/>
        <v>1+33,8228238675922i</v>
      </c>
      <c r="AK461">
        <f t="shared" si="386"/>
        <v>33.837603555484904</v>
      </c>
      <c r="AL461">
        <f t="shared" si="387"/>
        <v>1.54123910303599</v>
      </c>
      <c r="AM461" t="str">
        <f t="shared" si="368"/>
        <v>1-2,12612064762582i</v>
      </c>
      <c r="AN461">
        <f t="shared" si="388"/>
        <v>2.3495508098912938</v>
      </c>
      <c r="AO461">
        <f t="shared" si="389"/>
        <v>-1.1311568331990725</v>
      </c>
      <c r="AP461" s="41" t="str">
        <f t="shared" si="390"/>
        <v>0,406657903023636-0,935236887737631i</v>
      </c>
      <c r="AQ461">
        <f t="shared" si="391"/>
        <v>0.170494940334314</v>
      </c>
      <c r="AR461" s="43">
        <f t="shared" si="392"/>
        <v>-66.499725349012138</v>
      </c>
      <c r="AS461" t="str">
        <f t="shared" si="369"/>
        <v>-0,0000166666666666667</v>
      </c>
      <c r="AT461" t="str">
        <f t="shared" si="370"/>
        <v>0,00257391689632376i</v>
      </c>
      <c r="AU461">
        <f t="shared" si="393"/>
        <v>2.5739168963237599E-3</v>
      </c>
      <c r="AV461">
        <f t="shared" si="394"/>
        <v>1.5707963267948966</v>
      </c>
      <c r="AW461" t="str">
        <f t="shared" si="371"/>
        <v>1+8,0668101602733i</v>
      </c>
      <c r="AX461">
        <f t="shared" si="395"/>
        <v>8.1285562163208631</v>
      </c>
      <c r="AY461">
        <f t="shared" si="396"/>
        <v>1.4474607976626874</v>
      </c>
      <c r="AZ461" t="str">
        <f t="shared" si="372"/>
        <v>1+558,076593815271i</v>
      </c>
      <c r="BA461">
        <f t="shared" si="397"/>
        <v>558.07748974891911</v>
      </c>
      <c r="BB461">
        <f t="shared" si="398"/>
        <v>1.569004459978012</v>
      </c>
      <c r="BC461" s="41" t="str">
        <f t="shared" si="399"/>
        <v>-0,0539011233574043+0,441285345082241i</v>
      </c>
      <c r="BD461">
        <f t="shared" si="400"/>
        <v>-7.0412935868841906</v>
      </c>
      <c r="BE461" s="43">
        <f t="shared" si="401"/>
        <v>96.963938877231385</v>
      </c>
      <c r="BF461" s="41" t="str">
        <f t="shared" si="402"/>
        <v>0,277471124542035-0,222643456432183i</v>
      </c>
      <c r="BG461" s="20">
        <f t="shared" si="403"/>
        <v>-8.9770238892915977</v>
      </c>
      <c r="BH461" s="43">
        <f t="shared" si="404"/>
        <v>-38.743636276373216</v>
      </c>
      <c r="BI461" s="41" t="str">
        <f t="shared" si="409"/>
        <v>0,390787014943801+0,229862491920547i</v>
      </c>
      <c r="BJ461" s="20">
        <f t="shared" si="405"/>
        <v>-6.8707986465498774</v>
      </c>
      <c r="BK461" s="43">
        <f t="shared" si="410"/>
        <v>30.464213528219293</v>
      </c>
      <c r="BL461">
        <f t="shared" si="406"/>
        <v>-8.9770238892915977</v>
      </c>
      <c r="BM461" s="43">
        <f t="shared" si="407"/>
        <v>-38.743636276373216</v>
      </c>
    </row>
    <row r="462" spans="14:65" x14ac:dyDescent="0.25">
      <c r="N462" s="9">
        <v>44</v>
      </c>
      <c r="O462" s="34">
        <f t="shared" si="408"/>
        <v>275422.87033381703</v>
      </c>
      <c r="P462" s="33" t="str">
        <f t="shared" si="360"/>
        <v>54,631621870174</v>
      </c>
      <c r="Q462" s="4" t="str">
        <f t="shared" si="361"/>
        <v>1+13794,5111232942i</v>
      </c>
      <c r="R462" s="4">
        <f t="shared" si="373"/>
        <v>13794.5111595405</v>
      </c>
      <c r="S462" s="4">
        <f t="shared" si="374"/>
        <v>1.5707238341933605</v>
      </c>
      <c r="T462" s="4" t="str">
        <f t="shared" si="362"/>
        <v>1+34,6106586428534i</v>
      </c>
      <c r="U462" s="4">
        <f t="shared" si="375"/>
        <v>34.625102045945262</v>
      </c>
      <c r="V462" s="4">
        <f t="shared" si="376"/>
        <v>1.541911529070225</v>
      </c>
      <c r="W462" t="str">
        <f t="shared" si="363"/>
        <v>1-6,88637691592309i</v>
      </c>
      <c r="X462" s="4">
        <f t="shared" si="377"/>
        <v>6.9586052502034059</v>
      </c>
      <c r="Y462" s="4">
        <f t="shared" si="378"/>
        <v>-1.4265900817203763</v>
      </c>
      <c r="Z462" t="str">
        <f t="shared" si="364"/>
        <v>0,696568969988324+0,946132490937814i</v>
      </c>
      <c r="AA462" s="4">
        <f t="shared" si="379"/>
        <v>1.1748936208690501</v>
      </c>
      <c r="AB462" s="4">
        <f t="shared" si="380"/>
        <v>0.9361678981855186</v>
      </c>
      <c r="AC462" s="47" t="str">
        <f t="shared" si="381"/>
        <v>-0,594250962072364-0,553626921862854i</v>
      </c>
      <c r="AD462" s="20">
        <f t="shared" si="382"/>
        <v>-1.8069500889988688</v>
      </c>
      <c r="AE462" s="43">
        <f t="shared" si="383"/>
        <v>-137.02688374106268</v>
      </c>
      <c r="AF462" t="str">
        <f t="shared" si="365"/>
        <v>171,265703090588</v>
      </c>
      <c r="AG462" t="str">
        <f t="shared" si="366"/>
        <v>1+13662,4974113173i</v>
      </c>
      <c r="AH462">
        <f t="shared" si="384"/>
        <v>13662.497447913829</v>
      </c>
      <c r="AI462">
        <f t="shared" si="385"/>
        <v>1.5707231337344987</v>
      </c>
      <c r="AJ462" t="str">
        <f t="shared" si="367"/>
        <v>1+34,6106586428534i</v>
      </c>
      <c r="AK462">
        <f t="shared" si="386"/>
        <v>34.625102045945262</v>
      </c>
      <c r="AL462">
        <f t="shared" si="387"/>
        <v>1.541911529070225</v>
      </c>
      <c r="AM462" t="str">
        <f t="shared" si="368"/>
        <v>1-2,17564435945892i</v>
      </c>
      <c r="AN462">
        <f t="shared" si="388"/>
        <v>2.3944578465375863</v>
      </c>
      <c r="AO462">
        <f t="shared" si="389"/>
        <v>-1.1399597532953019</v>
      </c>
      <c r="AP462" s="41" t="str">
        <f t="shared" si="390"/>
        <v>0,406657859885454-0,956431978032134i</v>
      </c>
      <c r="AQ462">
        <f t="shared" si="391"/>
        <v>0.33477131666884641</v>
      </c>
      <c r="AR462" s="43">
        <f t="shared" si="392"/>
        <v>-66.965666026857747</v>
      </c>
      <c r="AS462" t="str">
        <f t="shared" si="369"/>
        <v>-0,0000166666666666667</v>
      </c>
      <c r="AT462" t="str">
        <f t="shared" si="370"/>
        <v>0,00263387112272114i</v>
      </c>
      <c r="AU462">
        <f t="shared" si="393"/>
        <v>2.63387112272114E-3</v>
      </c>
      <c r="AV462">
        <f t="shared" si="394"/>
        <v>1.5707963267948966</v>
      </c>
      <c r="AW462" t="str">
        <f t="shared" si="371"/>
        <v>1+8,25471030706687i</v>
      </c>
      <c r="AX462">
        <f t="shared" si="395"/>
        <v>8.3150611695643004</v>
      </c>
      <c r="AY462">
        <f t="shared" si="396"/>
        <v>1.4502408234007946</v>
      </c>
      <c r="AZ462" t="str">
        <f t="shared" si="372"/>
        <v>1+571,075867607081i</v>
      </c>
      <c r="BA462">
        <f t="shared" si="397"/>
        <v>571.07674314682106</v>
      </c>
      <c r="BB462">
        <f t="shared" si="398"/>
        <v>1.5690452477620924</v>
      </c>
      <c r="BC462" s="41" t="str">
        <f t="shared" si="399"/>
        <v>-0,0515102605677239+0,431530100460248i</v>
      </c>
      <c r="BD462">
        <f t="shared" si="400"/>
        <v>-7.2383349110257145</v>
      </c>
      <c r="BE462" s="43">
        <f t="shared" si="401"/>
        <v>96.806992103383564</v>
      </c>
      <c r="BF462" s="41" t="str">
        <f t="shared" si="402"/>
        <v>0,269516703107943-0,227919710359224i</v>
      </c>
      <c r="BG462" s="20">
        <f t="shared" si="403"/>
        <v>-9.0452850000245846</v>
      </c>
      <c r="BH462" s="43">
        <f t="shared" si="404"/>
        <v>-40.219891637679176</v>
      </c>
      <c r="BI462" s="41" t="str">
        <f t="shared" si="409"/>
        <v>0,391782135238988+0,224751167533058i</v>
      </c>
      <c r="BJ462" s="20">
        <f t="shared" si="405"/>
        <v>-6.9035635943568661</v>
      </c>
      <c r="BK462" s="43">
        <f t="shared" si="410"/>
        <v>29.841326076525789</v>
      </c>
      <c r="BL462">
        <f t="shared" si="406"/>
        <v>-9.0452850000245846</v>
      </c>
      <c r="BM462" s="43">
        <f t="shared" si="407"/>
        <v>-40.219891637679176</v>
      </c>
    </row>
    <row r="463" spans="14:65" x14ac:dyDescent="0.25">
      <c r="N463" s="9">
        <v>45</v>
      </c>
      <c r="O463" s="34">
        <f t="shared" si="408"/>
        <v>281838.29312644573</v>
      </c>
      <c r="P463" s="33" t="str">
        <f t="shared" si="360"/>
        <v>54,631621870174</v>
      </c>
      <c r="Q463" s="4" t="str">
        <f t="shared" si="361"/>
        <v>1+14115,8265644058i</v>
      </c>
      <c r="R463" s="4">
        <f t="shared" si="373"/>
        <v>14115.826599827033</v>
      </c>
      <c r="S463" s="4">
        <f t="shared" si="374"/>
        <v>1.570725484326426</v>
      </c>
      <c r="T463" s="4" t="str">
        <f t="shared" si="362"/>
        <v>1+35,4168444474532i</v>
      </c>
      <c r="U463" s="4">
        <f t="shared" si="375"/>
        <v>35.430959211050116</v>
      </c>
      <c r="V463" s="4">
        <f t="shared" si="376"/>
        <v>1.5425686740674678</v>
      </c>
      <c r="W463" t="str">
        <f t="shared" si="363"/>
        <v>1-7,04678124026805i</v>
      </c>
      <c r="X463" s="4">
        <f t="shared" si="377"/>
        <v>7.1173819518270696</v>
      </c>
      <c r="Y463" s="4">
        <f t="shared" si="378"/>
        <v>-1.4298288088437712</v>
      </c>
      <c r="Z463" t="str">
        <f t="shared" si="364"/>
        <v>0,682268706110285+0,9681707477458i</v>
      </c>
      <c r="AA463" s="4">
        <f t="shared" si="379"/>
        <v>1.1844176561196915</v>
      </c>
      <c r="AB463" s="4">
        <f t="shared" si="380"/>
        <v>0.95692380189891058</v>
      </c>
      <c r="AC463" s="47" t="str">
        <f t="shared" si="381"/>
        <v>-0,615855480656883-0,547472177138421i</v>
      </c>
      <c r="AD463" s="20">
        <f t="shared" si="382"/>
        <v>-1.6812782220629441</v>
      </c>
      <c r="AE463" s="43">
        <f t="shared" si="383"/>
        <v>-138.36411772977527</v>
      </c>
      <c r="AF463" t="str">
        <f t="shared" si="365"/>
        <v>171,265703090588</v>
      </c>
      <c r="AG463" t="str">
        <f t="shared" si="366"/>
        <v>1+13980,737858055i</v>
      </c>
      <c r="AH463">
        <f t="shared" si="384"/>
        <v>13980.73789381849</v>
      </c>
      <c r="AI463">
        <f t="shared" si="385"/>
        <v>1.5707247998119542</v>
      </c>
      <c r="AJ463" t="str">
        <f t="shared" si="367"/>
        <v>1+35,4168444474532i</v>
      </c>
      <c r="AK463">
        <f t="shared" si="386"/>
        <v>35.430959211050116</v>
      </c>
      <c r="AL463">
        <f t="shared" si="387"/>
        <v>1.5425686740674678</v>
      </c>
      <c r="AM463" t="str">
        <f t="shared" si="368"/>
        <v>1-2,22632162672946i</v>
      </c>
      <c r="AN463">
        <f t="shared" si="388"/>
        <v>2.4405958259497433</v>
      </c>
      <c r="AO463">
        <f t="shared" si="389"/>
        <v>-1.148631679453296</v>
      </c>
      <c r="AP463" s="41" t="str">
        <f t="shared" si="390"/>
        <v>0,406657818688808-0,978134181220968i</v>
      </c>
      <c r="AQ463">
        <f t="shared" si="391"/>
        <v>0.50038164389146755</v>
      </c>
      <c r="AR463" s="43">
        <f t="shared" si="392"/>
        <v>-67.42497462029624</v>
      </c>
      <c r="AS463" t="str">
        <f t="shared" si="369"/>
        <v>-0,0000166666666666667</v>
      </c>
      <c r="AT463" t="str">
        <f t="shared" si="370"/>
        <v>0,00269522186245118i</v>
      </c>
      <c r="AU463">
        <f t="shared" si="393"/>
        <v>2.6952218624511802E-3</v>
      </c>
      <c r="AV463">
        <f t="shared" si="394"/>
        <v>1.5707963267948966</v>
      </c>
      <c r="AW463" t="str">
        <f t="shared" si="371"/>
        <v>1+8,44698721052924i</v>
      </c>
      <c r="AX463">
        <f t="shared" si="395"/>
        <v>8.505973955688118</v>
      </c>
      <c r="AY463">
        <f t="shared" si="396"/>
        <v>1.4529593786103758</v>
      </c>
      <c r="AZ463" t="str">
        <f t="shared" si="372"/>
        <v>1+584,377933382978i</v>
      </c>
      <c r="BA463">
        <f t="shared" si="397"/>
        <v>584.37878899302996</v>
      </c>
      <c r="BB463">
        <f t="shared" si="398"/>
        <v>1.5690851071084861</v>
      </c>
      <c r="BC463" s="41" t="str">
        <f t="shared" si="399"/>
        <v>-0,0492239596909153+0,421977940787281i</v>
      </c>
      <c r="BD463">
        <f t="shared" si="400"/>
        <v>-7.4355075138805233</v>
      </c>
      <c r="BE463" s="43">
        <f t="shared" si="401"/>
        <v>96.653514135823784</v>
      </c>
      <c r="BF463" s="41" t="str">
        <f t="shared" si="402"/>
        <v>0,261336027302484-0,232928679170793i</v>
      </c>
      <c r="BG463" s="20">
        <f t="shared" si="403"/>
        <v>-9.116785735943477</v>
      </c>
      <c r="BH463" s="43">
        <f t="shared" si="404"/>
        <v>-41.710603593951468</v>
      </c>
      <c r="BI463" s="41" t="str">
        <f t="shared" si="409"/>
        <v>0,392733739530144+0,219748266444078i</v>
      </c>
      <c r="BJ463" s="20">
        <f t="shared" si="405"/>
        <v>-6.9351258699890552</v>
      </c>
      <c r="BK463" s="43">
        <f t="shared" si="410"/>
        <v>29.228539515527522</v>
      </c>
      <c r="BL463">
        <f t="shared" si="406"/>
        <v>-9.116785735943477</v>
      </c>
      <c r="BM463" s="43">
        <f t="shared" si="407"/>
        <v>-41.710603593951468</v>
      </c>
    </row>
    <row r="464" spans="14:65" x14ac:dyDescent="0.25">
      <c r="N464" s="9">
        <v>46</v>
      </c>
      <c r="O464" s="34">
        <f t="shared" si="408"/>
        <v>288403.1503126609</v>
      </c>
      <c r="P464" s="33" t="str">
        <f t="shared" si="360"/>
        <v>54,631621870174</v>
      </c>
      <c r="Q464" s="4" t="str">
        <f t="shared" si="361"/>
        <v>1+14444,626403607i</v>
      </c>
      <c r="R464" s="4">
        <f t="shared" si="373"/>
        <v>14444.626438221949</v>
      </c>
      <c r="S464" s="4">
        <f t="shared" si="374"/>
        <v>1.5707270968978775</v>
      </c>
      <c r="T464" s="4" t="str">
        <f t="shared" si="362"/>
        <v>1+36,2418087317764i</v>
      </c>
      <c r="U464" s="4">
        <f t="shared" si="375"/>
        <v>36.255602327787415</v>
      </c>
      <c r="V464" s="4">
        <f t="shared" si="376"/>
        <v>1.5432108841831453</v>
      </c>
      <c r="W464" t="str">
        <f t="shared" si="363"/>
        <v>1-7,21092186130178i</v>
      </c>
      <c r="X464" s="4">
        <f t="shared" si="377"/>
        <v>7.2799309124331621</v>
      </c>
      <c r="Y464" s="4">
        <f t="shared" si="378"/>
        <v>-1.4329966928269655</v>
      </c>
      <c r="Z464" t="str">
        <f t="shared" si="364"/>
        <v>0,667294491558929+0,990722341499495i</v>
      </c>
      <c r="AA464" s="4">
        <f t="shared" si="379"/>
        <v>1.1944926523052086</v>
      </c>
      <c r="AB464" s="4">
        <f t="shared" si="380"/>
        <v>0.97804800786390289</v>
      </c>
      <c r="AC464" s="47" t="str">
        <f t="shared" si="381"/>
        <v>-0,637552688925249-0,540315876438634i</v>
      </c>
      <c r="AD464" s="20">
        <f t="shared" si="382"/>
        <v>-1.5588664231962062</v>
      </c>
      <c r="AE464" s="43">
        <f t="shared" si="383"/>
        <v>-139.71924842370791</v>
      </c>
      <c r="AF464" t="str">
        <f t="shared" si="365"/>
        <v>171,265703090588</v>
      </c>
      <c r="AG464" t="str">
        <f t="shared" si="366"/>
        <v>1+14306,3910770619i</v>
      </c>
      <c r="AH464">
        <f t="shared" si="384"/>
        <v>14306.391112011315</v>
      </c>
      <c r="AI464">
        <f t="shared" si="385"/>
        <v>1.5707264279648574</v>
      </c>
      <c r="AJ464" t="str">
        <f t="shared" si="367"/>
        <v>1+36,2418087317764i</v>
      </c>
      <c r="AK464">
        <f t="shared" si="386"/>
        <v>36.255602327787415</v>
      </c>
      <c r="AL464">
        <f t="shared" si="387"/>
        <v>1.5432108841831453</v>
      </c>
      <c r="AM464" t="str">
        <f t="shared" si="368"/>
        <v>1-2,27817931919535i</v>
      </c>
      <c r="AN464">
        <f t="shared" si="388"/>
        <v>2.4879913605978188</v>
      </c>
      <c r="AO464">
        <f t="shared" si="389"/>
        <v>-1.1571719914179541</v>
      </c>
      <c r="AP464" s="41" t="str">
        <f t="shared" si="390"/>
        <v>0,406657779346318-1,00035500409957i</v>
      </c>
      <c r="AQ464">
        <f t="shared" si="391"/>
        <v>0.66728601268959697</v>
      </c>
      <c r="AR464" s="43">
        <f t="shared" si="392"/>
        <v>-67.877595808697109</v>
      </c>
      <c r="AS464" t="str">
        <f t="shared" si="369"/>
        <v>-0,0000166666666666667</v>
      </c>
      <c r="AT464" t="str">
        <f t="shared" si="370"/>
        <v>0,00275800164448818i</v>
      </c>
      <c r="AU464">
        <f t="shared" si="393"/>
        <v>2.7580016444881802E-3</v>
      </c>
      <c r="AV464">
        <f t="shared" si="394"/>
        <v>1.5707963267948966</v>
      </c>
      <c r="AW464" t="str">
        <f t="shared" si="371"/>
        <v>1+8,64374281841973i</v>
      </c>
      <c r="AX464">
        <f t="shared" si="395"/>
        <v>8.7013958599171115</v>
      </c>
      <c r="AY464">
        <f t="shared" si="396"/>
        <v>1.4556177438862101</v>
      </c>
      <c r="AZ464" t="str">
        <f t="shared" si="372"/>
        <v>1+597,989844074311i</v>
      </c>
      <c r="BA464">
        <f t="shared" si="397"/>
        <v>597.99068020832794</v>
      </c>
      <c r="BB464">
        <f t="shared" si="398"/>
        <v>1.569124059150639</v>
      </c>
      <c r="BC464" s="41" t="str">
        <f t="shared" si="399"/>
        <v>-0,0470377771274811+0,412625470984468i</v>
      </c>
      <c r="BD464">
        <f t="shared" si="400"/>
        <v>-7.6328056504325739</v>
      </c>
      <c r="BE464" s="43">
        <f t="shared" si="401"/>
        <v>96.503432812733124</v>
      </c>
      <c r="BF464" s="41" t="str">
        <f t="shared" si="402"/>
        <v>0,252937154284569-0,237655220770835i</v>
      </c>
      <c r="BG464" s="20">
        <f t="shared" si="403"/>
        <v>-9.1916720736287765</v>
      </c>
      <c r="BH464" s="43">
        <f t="shared" si="404"/>
        <v>-43.215815610974822</v>
      </c>
      <c r="BI464" s="41" t="str">
        <f t="shared" si="409"/>
        <v>0,393643676726206+0,214851833463468i</v>
      </c>
      <c r="BJ464" s="20">
        <f t="shared" si="405"/>
        <v>-6.9655196377429798</v>
      </c>
      <c r="BK464" s="43">
        <f t="shared" si="410"/>
        <v>28.625837004035986</v>
      </c>
      <c r="BL464">
        <f t="shared" si="406"/>
        <v>-9.1916720736287765</v>
      </c>
      <c r="BM464" s="43">
        <f t="shared" si="407"/>
        <v>-43.215815610974822</v>
      </c>
    </row>
    <row r="465" spans="14:65" x14ac:dyDescent="0.25">
      <c r="N465" s="9">
        <v>47</v>
      </c>
      <c r="O465" s="34">
        <f t="shared" si="408"/>
        <v>295120.92266663886</v>
      </c>
      <c r="P465" s="33" t="str">
        <f t="shared" si="360"/>
        <v>54,631621870174</v>
      </c>
      <c r="Q465" s="4" t="str">
        <f t="shared" si="361"/>
        <v>1+14781,0849749246i</v>
      </c>
      <c r="R465" s="4">
        <f t="shared" si="373"/>
        <v>14781.085008751617</v>
      </c>
      <c r="S465" s="4">
        <f t="shared" si="374"/>
        <v>1.5707286727627217</v>
      </c>
      <c r="T465" s="4" t="str">
        <f t="shared" si="362"/>
        <v>1+37,0859889028062i</v>
      </c>
      <c r="U465" s="4">
        <f t="shared" si="375"/>
        <v>37.099468633648442</v>
      </c>
      <c r="V465" s="4">
        <f t="shared" si="376"/>
        <v>1.5438384978053954</v>
      </c>
      <c r="W465" t="str">
        <f t="shared" si="363"/>
        <v>1-7,3788858085542i</v>
      </c>
      <c r="X465" s="4">
        <f t="shared" si="377"/>
        <v>7.4463384139913069</v>
      </c>
      <c r="Y465" s="4">
        <f t="shared" si="378"/>
        <v>-1.4360951588605206</v>
      </c>
      <c r="Z465" t="str">
        <f t="shared" si="364"/>
        <v>0,651614564017566+1,01379922935241i</v>
      </c>
      <c r="AA465" s="4">
        <f t="shared" si="379"/>
        <v>1.2051516159700997</v>
      </c>
      <c r="AB465" s="4">
        <f t="shared" si="380"/>
        <v>0.99953807669923078</v>
      </c>
      <c r="AC465" s="47" t="str">
        <f t="shared" si="381"/>
        <v>-0,659286425499926-0,532125318495998i</v>
      </c>
      <c r="AD465" s="20">
        <f t="shared" si="382"/>
        <v>-1.4398689855694453</v>
      </c>
      <c r="AE465" s="43">
        <f t="shared" si="383"/>
        <v>-141.09219837478997</v>
      </c>
      <c r="AF465" t="str">
        <f t="shared" si="365"/>
        <v>171,265703090588</v>
      </c>
      <c r="AG465" t="str">
        <f t="shared" si="366"/>
        <v>1+14639,6297339853i</v>
      </c>
      <c r="AH465">
        <f t="shared" si="384"/>
        <v>14639.62976813917</v>
      </c>
      <c r="AI465">
        <f t="shared" si="385"/>
        <v>1.5707280190564759</v>
      </c>
      <c r="AJ465" t="str">
        <f t="shared" si="367"/>
        <v>1+37,0859889028062i</v>
      </c>
      <c r="AK465">
        <f t="shared" si="386"/>
        <v>37.099468633648442</v>
      </c>
      <c r="AL465">
        <f t="shared" si="387"/>
        <v>1.5438384978053954</v>
      </c>
      <c r="AM465" t="str">
        <f t="shared" si="368"/>
        <v>1-2,33124493249154i</v>
      </c>
      <c r="AN465">
        <f t="shared" si="388"/>
        <v>2.5366716254311443</v>
      </c>
      <c r="AO465">
        <f t="shared" si="389"/>
        <v>-1.1655802330981149</v>
      </c>
      <c r="AP465" s="41" t="str">
        <f t="shared" si="390"/>
        <v>0,406657741774532-1,02310622844235i</v>
      </c>
      <c r="AQ465">
        <f t="shared" si="391"/>
        <v>0.83544496993870132</v>
      </c>
      <c r="AR465" s="43">
        <f t="shared" si="392"/>
        <v>-68.323484121210896</v>
      </c>
      <c r="AS465" t="str">
        <f t="shared" si="369"/>
        <v>-0,0000166666666666667</v>
      </c>
      <c r="AT465" t="str">
        <f t="shared" si="370"/>
        <v>0,00282224375550355i</v>
      </c>
      <c r="AU465">
        <f t="shared" si="393"/>
        <v>2.8222437555035498E-3</v>
      </c>
      <c r="AV465">
        <f t="shared" si="394"/>
        <v>1.5707963267948966</v>
      </c>
      <c r="AW465" t="str">
        <f t="shared" si="371"/>
        <v>1+8,845081453166i</v>
      </c>
      <c r="AX465">
        <f t="shared" si="395"/>
        <v>8.90143055430649</v>
      </c>
      <c r="AY465">
        <f t="shared" si="396"/>
        <v>1.458217178356388</v>
      </c>
      <c r="AZ465" t="str">
        <f t="shared" si="372"/>
        <v>1+611,918816896302i</v>
      </c>
      <c r="BA465">
        <f t="shared" si="397"/>
        <v>611.91963399761084</v>
      </c>
      <c r="BB465">
        <f t="shared" si="398"/>
        <v>1.5691621245409666</v>
      </c>
      <c r="BC465" s="41" t="str">
        <f t="shared" si="399"/>
        <v>-0,0449474468680776+0,403469295412884i</v>
      </c>
      <c r="BD465">
        <f t="shared" si="400"/>
        <v>-7.8302238201331651</v>
      </c>
      <c r="BE465" s="43">
        <f t="shared" si="401"/>
        <v>96.356677174682389</v>
      </c>
      <c r="BF465" s="41" t="str">
        <f t="shared" si="402"/>
        <v>0,24432946890594-0,242084155091476i</v>
      </c>
      <c r="BG465" s="20">
        <f t="shared" si="403"/>
        <v>-9.2700928057026069</v>
      </c>
      <c r="BH465" s="43">
        <f t="shared" si="404"/>
        <v>-44.735521200107492</v>
      </c>
      <c r="BI465" s="41" t="str">
        <f t="shared" si="409"/>
        <v>0,394513721880265+0,210059925391277i</v>
      </c>
      <c r="BJ465" s="20">
        <f t="shared" si="405"/>
        <v>-6.9947788501944572</v>
      </c>
      <c r="BK465" s="43">
        <f t="shared" si="410"/>
        <v>28.033193053471518</v>
      </c>
      <c r="BL465">
        <f t="shared" si="406"/>
        <v>-9.2700928057026069</v>
      </c>
      <c r="BM465" s="43">
        <f t="shared" si="407"/>
        <v>-44.735521200107492</v>
      </c>
    </row>
    <row r="466" spans="14:65" x14ac:dyDescent="0.25">
      <c r="N466" s="9">
        <v>48</v>
      </c>
      <c r="O466" s="34">
        <f t="shared" si="408"/>
        <v>301995.17204020242</v>
      </c>
      <c r="P466" s="33" t="str">
        <f t="shared" si="360"/>
        <v>54,631621870174</v>
      </c>
      <c r="Q466" s="4" t="str">
        <f t="shared" si="361"/>
        <v>1+15125,3806731467i</v>
      </c>
      <c r="R466" s="4">
        <f t="shared" si="373"/>
        <v>15125.380706203719</v>
      </c>
      <c r="S466" s="4">
        <f t="shared" si="374"/>
        <v>1.570730212756503</v>
      </c>
      <c r="T466" s="4" t="str">
        <f t="shared" si="362"/>
        <v>1+37,9498325560434i</v>
      </c>
      <c r="U466" s="4">
        <f t="shared" si="375"/>
        <v>37.963005558460871</v>
      </c>
      <c r="V466" s="4">
        <f t="shared" si="376"/>
        <v>1.5444518457244052</v>
      </c>
      <c r="W466" t="str">
        <f t="shared" si="363"/>
        <v>1-7,55076213873342i</v>
      </c>
      <c r="X466" s="4">
        <f t="shared" si="377"/>
        <v>7.6166927780848628</v>
      </c>
      <c r="Y466" s="4">
        <f t="shared" si="378"/>
        <v>-1.4391256116924771</v>
      </c>
      <c r="Z466" t="str">
        <f t="shared" si="364"/>
        <v>0,635195664257634+1,03741364697595i</v>
      </c>
      <c r="AA466" s="4">
        <f t="shared" si="379"/>
        <v>1.2164294499984938</v>
      </c>
      <c r="AB466" s="4">
        <f t="shared" si="380"/>
        <v>1.02139067638892</v>
      </c>
      <c r="AC466" s="47" t="str">
        <f t="shared" si="381"/>
        <v>-0,680996197697152-0,522870914218333i</v>
      </c>
      <c r="AD466" s="20">
        <f t="shared" si="382"/>
        <v>-1.3244423958434979</v>
      </c>
      <c r="AE466" s="43">
        <f t="shared" si="383"/>
        <v>-142.48283825369435</v>
      </c>
      <c r="AF466" t="str">
        <f t="shared" si="365"/>
        <v>171,265703090588</v>
      </c>
      <c r="AG466" t="str">
        <f t="shared" si="366"/>
        <v>1+14980,6305163721i</v>
      </c>
      <c r="AH466">
        <f t="shared" si="384"/>
        <v>14980.630549748534</v>
      </c>
      <c r="AI466">
        <f t="shared" si="385"/>
        <v>1.5707295739304279</v>
      </c>
      <c r="AJ466" t="str">
        <f t="shared" si="367"/>
        <v>1+37,9498325560434i</v>
      </c>
      <c r="AK466">
        <f t="shared" si="386"/>
        <v>37.963005558460871</v>
      </c>
      <c r="AL466">
        <f t="shared" si="387"/>
        <v>1.5444518457244052</v>
      </c>
      <c r="AM466" t="str">
        <f t="shared" si="368"/>
        <v>1-2,38554660270861i</v>
      </c>
      <c r="AN466">
        <f t="shared" si="388"/>
        <v>2.5866643759279229</v>
      </c>
      <c r="AO466">
        <f t="shared" si="389"/>
        <v>-1.1738561060021879</v>
      </c>
      <c r="AP466" s="41" t="str">
        <f t="shared" si="390"/>
        <v>0,406657705893755-1,04639991724964i</v>
      </c>
      <c r="AQ466">
        <f t="shared" si="391"/>
        <v>1.0048195720356317</v>
      </c>
      <c r="AR466" s="43">
        <f t="shared" si="392"/>
        <v>-68.762603550983741</v>
      </c>
      <c r="AS466" t="str">
        <f t="shared" si="369"/>
        <v>-0,0000166666666666667</v>
      </c>
      <c r="AT466" t="str">
        <f t="shared" si="370"/>
        <v>0,00288798225751491i</v>
      </c>
      <c r="AU466">
        <f t="shared" si="393"/>
        <v>2.8879822575149099E-3</v>
      </c>
      <c r="AV466">
        <f t="shared" si="394"/>
        <v>1.5707963267948966</v>
      </c>
      <c r="AW466" t="str">
        <f t="shared" si="371"/>
        <v>1+9,05110986717723i</v>
      </c>
      <c r="AX466">
        <f t="shared" si="395"/>
        <v>9.1061841529651169</v>
      </c>
      <c r="AY466">
        <f t="shared" si="396"/>
        <v>1.4607589196832294</v>
      </c>
      <c r="AZ466" t="str">
        <f t="shared" si="372"/>
        <v>1+626,172237174716i</v>
      </c>
      <c r="BA466">
        <f t="shared" si="397"/>
        <v>626.17303567655233</v>
      </c>
      <c r="BB466">
        <f t="shared" si="398"/>
        <v>1.5691993234618009</v>
      </c>
      <c r="BC466" s="41" t="str">
        <f t="shared" si="399"/>
        <v>-0,0429488743851078+0,394506022649242i</v>
      </c>
      <c r="BD466">
        <f t="shared" si="400"/>
        <v>-8.0277567571029067</v>
      </c>
      <c r="BE466" s="43">
        <f t="shared" si="401"/>
        <v>96.213177465206655</v>
      </c>
      <c r="BF466" s="41" t="str">
        <f t="shared" si="402"/>
        <v>0,235523744878879-0,246200384178371i</v>
      </c>
      <c r="BG466" s="20">
        <f t="shared" si="403"/>
        <v>-9.3521991529463904</v>
      </c>
      <c r="BH466" s="43">
        <f t="shared" si="404"/>
        <v>-46.269660788487684</v>
      </c>
      <c r="BI466" s="41" t="str">
        <f t="shared" si="409"/>
        <v>0,395345578726484+0,205370612734353i</v>
      </c>
      <c r="BJ466" s="20">
        <f t="shared" si="405"/>
        <v>-7.0229371850672786</v>
      </c>
      <c r="BK466" s="43">
        <f t="shared" si="410"/>
        <v>27.450573914223007</v>
      </c>
      <c r="BL466">
        <f t="shared" si="406"/>
        <v>-9.3521991529463904</v>
      </c>
      <c r="BM466" s="43">
        <f t="shared" si="407"/>
        <v>-46.269660788487684</v>
      </c>
    </row>
    <row r="467" spans="14:65" x14ac:dyDescent="0.25">
      <c r="N467" s="9">
        <v>49</v>
      </c>
      <c r="O467" s="34">
        <f t="shared" si="408"/>
        <v>309029.54325135931</v>
      </c>
      <c r="P467" s="33" t="str">
        <f t="shared" ref="P467:P530" si="411">COMPLEX(Adc,0)</f>
        <v>54,631621870174</v>
      </c>
      <c r="Q467" s="4" t="str">
        <f t="shared" ref="Q467:Q530" si="412">IMSUM(COMPLEX(1,0),IMDIV(COMPLEX(0,2*PI()*O467),COMPLEX(wp_lf,0)))</f>
        <v>1+15477,6960484097i</v>
      </c>
      <c r="R467" s="4">
        <f t="shared" si="373"/>
        <v>15477.696080714248</v>
      </c>
      <c r="S467" s="4">
        <f t="shared" si="374"/>
        <v>1.5707317176957465</v>
      </c>
      <c r="T467" s="4" t="str">
        <f t="shared" ref="T467:T530" si="413">IMSUM(COMPLEX(1,0),IMDIV(COMPLEX(0,2*PI()*O467),COMPLEX(wz_esr,0)))</f>
        <v>1+38,8337977128272i</v>
      </c>
      <c r="U467" s="4">
        <f t="shared" si="375"/>
        <v>38.846670961625307</v>
      </c>
      <c r="V467" s="4">
        <f t="shared" si="376"/>
        <v>1.5450512512983925</v>
      </c>
      <c r="W467" t="str">
        <f t="shared" ref="W467:W530" si="414">IMSUB(COMPLEX(1,0),IMDIV(COMPLEX(0,2*PI()*O467),COMPLEX(wz_rhp,0)))</f>
        <v>1-7,72664198294474i</v>
      </c>
      <c r="X467" s="4">
        <f t="shared" si="377"/>
        <v>7.7910844131355823</v>
      </c>
      <c r="Y467" s="4">
        <f t="shared" si="378"/>
        <v>-1.4420894353465523</v>
      </c>
      <c r="Z467" t="str">
        <f t="shared" ref="Z467:Z530" si="415">IMSUM(COMPLEX(1,0),IMDIV(COMPLEX(0,2*PI()*O467),COMPLEX(Q*(wsl/2),0)),IMDIV(IMPOWER(COMPLEX(0,2*PI()*O467),2),IMPOWER(COMPLEX(wsl/2,0),2)))</f>
        <v>0,618002965591424+1,06157811504691i</v>
      </c>
      <c r="AA467" s="4">
        <f t="shared" si="379"/>
        <v>1.2283630407279214</v>
      </c>
      <c r="AB467" s="4">
        <f t="shared" si="380"/>
        <v>1.0436015297709351</v>
      </c>
      <c r="AC467" s="47" t="str">
        <f t="shared" si="381"/>
        <v>-0,702617293483729-0,512526720807879i</v>
      </c>
      <c r="AD467" s="20">
        <f t="shared" si="382"/>
        <v>-1.2127448967530225</v>
      </c>
      <c r="AE467" s="43">
        <f t="shared" si="383"/>
        <v>-143.89098381552833</v>
      </c>
      <c r="AF467" t="str">
        <f t="shared" ref="AF467:AF530" si="416">COMPLEX($B$72,0)</f>
        <v>171,265703090588</v>
      </c>
      <c r="AG467" t="str">
        <f t="shared" ref="AG467:AG530" si="417">IMSUM(COMPLEX(1,0),IMDIV(COMPLEX(0,2*PI()*O467),COMPLEX(wp_lf_DCM,0)))</f>
        <v>1+15329,5742273508i</v>
      </c>
      <c r="AH467">
        <f t="shared" si="384"/>
        <v>15329.574259967492</v>
      </c>
      <c r="AI467">
        <f t="shared" si="385"/>
        <v>1.570731093411128</v>
      </c>
      <c r="AJ467" t="str">
        <f t="shared" ref="AJ467:AJ530" si="418">IMSUM(COMPLEX(1,0),IMDIV(COMPLEX(0,2*PI()*O467),COMPLEX(wz1_dcm,0)))</f>
        <v>1+38,8337977128272i</v>
      </c>
      <c r="AK467">
        <f t="shared" si="386"/>
        <v>38.846670961625307</v>
      </c>
      <c r="AL467">
        <f t="shared" si="387"/>
        <v>1.5450512512983925</v>
      </c>
      <c r="AM467" t="str">
        <f t="shared" ref="AM467:AM530" si="419">IMSUB(COMPLEX(1,0),IMDIV(COMPLEX(0,2*PI()*O467),COMPLEX(wz2_dcm,0)))</f>
        <v>1-2,44111312131088i</v>
      </c>
      <c r="AN467">
        <f t="shared" si="388"/>
        <v>2.6379979664579252</v>
      </c>
      <c r="AO467">
        <f t="shared" si="389"/>
        <v>-1.1819994625350658</v>
      </c>
      <c r="AP467" s="41" t="str">
        <f t="shared" si="390"/>
        <v>0,406657671627877-1,07024842114357i</v>
      </c>
      <c r="AQ467">
        <f t="shared" si="391"/>
        <v>1.1753714334319052</v>
      </c>
      <c r="AR467" s="43">
        <f t="shared" si="392"/>
        <v>-69.194927161612952</v>
      </c>
      <c r="AS467" t="str">
        <f t="shared" ref="AS467:AS530" si="420">COMPLEX(Adc_ea,0)</f>
        <v>-0,0000166666666666667</v>
      </c>
      <c r="AT467" t="str">
        <f t="shared" ref="AT467:AT530" si="421">COMPLEX(0,2*PI()*O467*wp0_ea)</f>
        <v>0,00295525200594615i</v>
      </c>
      <c r="AU467">
        <f t="shared" si="393"/>
        <v>2.95525200594615E-3</v>
      </c>
      <c r="AV467">
        <f t="shared" si="394"/>
        <v>1.5707963267948966</v>
      </c>
      <c r="AW467" t="str">
        <f t="shared" ref="AW467:AW530" si="422">IMSUM(COMPLEX(1,0),IMDIV(COMPLEX(0,2*PI()*O467),COMPLEX(wp1_ea,0)))</f>
        <v>1+9,26193729944564i</v>
      </c>
      <c r="AX467">
        <f t="shared" si="395"/>
        <v>9.3157652685575094</v>
      </c>
      <c r="AY467">
        <f t="shared" si="396"/>
        <v>1.4632441840940855</v>
      </c>
      <c r="AZ467" t="str">
        <f t="shared" ref="AZ467:AZ530" si="423">IMSUM(COMPLEX(1,0),IMDIV(COMPLEX(0,2*PI()*O467),COMPLEX(wz_ea,0)))</f>
        <v>1+640,757662261649i</v>
      </c>
      <c r="BA467">
        <f t="shared" si="397"/>
        <v>640.75844258738687</v>
      </c>
      <c r="BB467">
        <f t="shared" si="398"/>
        <v>1.5692356756360906</v>
      </c>
      <c r="BC467" s="41" t="str">
        <f t="shared" si="399"/>
        <v>-0,0410381306443129+0,385732269880087i</v>
      </c>
      <c r="BD467">
        <f t="shared" si="400"/>
        <v>-8.225399420672602</v>
      </c>
      <c r="BE467" s="43">
        <f t="shared" si="401"/>
        <v>96.072865129653437</v>
      </c>
      <c r="BF467" s="41" t="str">
        <f t="shared" si="402"/>
        <v>0,22653219567436-0,249989024945267i</v>
      </c>
      <c r="BG467" s="20">
        <f t="shared" si="403"/>
        <v>-9.4381443174256212</v>
      </c>
      <c r="BH467" s="43">
        <f t="shared" si="404"/>
        <v>-47.818118685874843</v>
      </c>
      <c r="BI467" s="41" t="str">
        <f t="shared" si="409"/>
        <v>0,396140882167512+0,200781981269932i</v>
      </c>
      <c r="BJ467" s="20">
        <f t="shared" si="405"/>
        <v>-7.0500279872406892</v>
      </c>
      <c r="BK467" s="43">
        <f t="shared" si="410"/>
        <v>26.877937968040534</v>
      </c>
      <c r="BL467">
        <f t="shared" si="406"/>
        <v>-9.4381443174256212</v>
      </c>
      <c r="BM467" s="43">
        <f t="shared" si="407"/>
        <v>-47.818118685874843</v>
      </c>
    </row>
    <row r="468" spans="14:65" x14ac:dyDescent="0.25">
      <c r="N468" s="9">
        <v>50</v>
      </c>
      <c r="O468" s="34">
        <f t="shared" si="408"/>
        <v>316227.7660168382</v>
      </c>
      <c r="P468" s="33" t="str">
        <f t="shared" si="411"/>
        <v>54,631621870174</v>
      </c>
      <c r="Q468" s="4" t="str">
        <f t="shared" si="412"/>
        <v>1+15838,2179029892i</v>
      </c>
      <c r="R468" s="4">
        <f t="shared" ref="R468:R531" si="424">IMABS(Q468)</f>
        <v>15838.217934558408</v>
      </c>
      <c r="S468" s="4">
        <f t="shared" ref="S468:S531" si="425">IMARGUMENT(Q468)</f>
        <v>1.5707331883783906</v>
      </c>
      <c r="T468" s="4" t="str">
        <f t="shared" si="413"/>
        <v>1+39,7383530631844i</v>
      </c>
      <c r="U468" s="4">
        <f t="shared" ref="U468:U531" si="426">IMABS(T468)</f>
        <v>39.750933374881861</v>
      </c>
      <c r="V468" s="4">
        <f t="shared" ref="V468:V531" si="427">IMARGUMENT(T468)</f>
        <v>1.5456370306162706</v>
      </c>
      <c r="W468" t="str">
        <f t="shared" si="414"/>
        <v>1-7,90661859500961i</v>
      </c>
      <c r="X468" s="4">
        <f t="shared" ref="X468:X531" si="428">IMABS(W468)</f>
        <v>7.9696058627106368</v>
      </c>
      <c r="Y468" s="4">
        <f t="shared" ref="Y468:Y531" si="429">IMARGUMENT(W468)</f>
        <v>-1.444987992891019</v>
      </c>
      <c r="Z468" t="str">
        <f t="shared" si="415"/>
        <v>0,6+1,08630544588611i</v>
      </c>
      <c r="AA468" s="4">
        <f t="shared" ref="AA468:AA531" si="430">IMABS(Z468)</f>
        <v>1.2409913463686282</v>
      </c>
      <c r="AB468" s="4">
        <f t="shared" ref="AB468:AB531" si="431">IMARGUMENT(Z468)</f>
        <v>1.0661653644518889</v>
      </c>
      <c r="AC468" s="47" t="str">
        <f t="shared" ref="AC468:AC531" si="432">(IMDIV(IMPRODUCT(P468,T468,W468),IMPRODUCT(Q468,Z468)))</f>
        <v>-0,72408095905565-0,50107098918545i</v>
      </c>
      <c r="AD468" s="20">
        <f t="shared" ref="AD468:AD531" si="433">20*LOG(IMABS(AC468))</f>
        <v>-1.1049359888621868</v>
      </c>
      <c r="AE468" s="43">
        <f t="shared" ref="AE468:AE531" si="434">(180/PI())*IMARGUMENT(AC468)</f>
        <v>-145.31639300761972</v>
      </c>
      <c r="AF468" t="str">
        <f t="shared" si="416"/>
        <v>171,265703090588</v>
      </c>
      <c r="AG468" t="str">
        <f t="shared" si="417"/>
        <v>1+15686,6458814957i</v>
      </c>
      <c r="AH468">
        <f t="shared" ref="AH468:AH531" si="435">IMABS(AG468)</f>
        <v>15686.645913369946</v>
      </c>
      <c r="AI468">
        <f t="shared" ref="AI468:AI531" si="436">IMARGUMENT(AG468)</f>
        <v>1.570732578304225</v>
      </c>
      <c r="AJ468" t="str">
        <f t="shared" si="418"/>
        <v>1+39,7383530631844i</v>
      </c>
      <c r="AK468">
        <f t="shared" ref="AK468:AK531" si="437">IMABS(AJ468)</f>
        <v>39.750933374881861</v>
      </c>
      <c r="AL468">
        <f t="shared" ref="AL468:AL531" si="438">IMARGUMENT(AJ468)</f>
        <v>1.5456370306162706</v>
      </c>
      <c r="AM468" t="str">
        <f t="shared" si="419"/>
        <v>1-2,49797395040202i</v>
      </c>
      <c r="AN468">
        <f t="shared" ref="AN468:AN531" si="439">IMABS(AM468)</f>
        <v>2.6907013689532837</v>
      </c>
      <c r="AO468">
        <f t="shared" ref="AO468:AO531" si="440">IMARGUMENT(AM468)</f>
        <v>-1.1900102991984571</v>
      </c>
      <c r="AP468" s="41" t="str">
        <f t="shared" ref="AP468:AP531" si="441">(IMDIV(IMPRODUCT(AF468,AJ468,AM468),IMPRODUCT(AG468)))</f>
        <v>0,406657638904219-1,09466438491661i</v>
      </c>
      <c r="AQ468">
        <f t="shared" ref="AQ468:AQ531" si="442">20*LOG(IMABS(AP468))</f>
        <v>1.3470627704714353</v>
      </c>
      <c r="AR468" s="43">
        <f t="shared" ref="AR468:AR531" si="443">(180/PI())*IMARGUMENT(AP468)</f>
        <v>-69.620436688260995</v>
      </c>
      <c r="AS468" t="str">
        <f t="shared" si="420"/>
        <v>-0,0000166666666666667</v>
      </c>
      <c r="AT468" t="str">
        <f t="shared" si="421"/>
        <v>0,00302408866810834i</v>
      </c>
      <c r="AU468">
        <f t="shared" ref="AU468:AU531" si="444">IMABS(AT468)</f>
        <v>3.0240886681083402E-3</v>
      </c>
      <c r="AV468">
        <f t="shared" ref="AV468:AV531" si="445">IMARGUMENT(AT468)</f>
        <v>1.5707963267948966</v>
      </c>
      <c r="AW468" t="str">
        <f t="shared" si="422"/>
        <v>1+9,47767553346645i</v>
      </c>
      <c r="AX468">
        <f t="shared" ref="AX468:AX531" si="446">IMABS(AW468)</f>
        <v>9.5302850701156121</v>
      </c>
      <c r="AY468">
        <f t="shared" ref="AY468:AY531" si="447">IMARGUMENT(AW468)</f>
        <v>1.4656741664396249</v>
      </c>
      <c r="AZ468" t="str">
        <f t="shared" si="423"/>
        <v>1+655,682825542543i</v>
      </c>
      <c r="BA468">
        <f t="shared" ref="BA468:BA531" si="448">IMABS(AZ468)</f>
        <v>655.6835881059194</v>
      </c>
      <c r="BB468">
        <f t="shared" ref="BB468:BB531" si="449">IMARGUMENT(AZ468)</f>
        <v>1.5692712003378546</v>
      </c>
      <c r="BC468" s="41" t="str">
        <f t="shared" ref="BC468:BC531" si="450">IMPRODUCT(AS468,IMDIV(AZ468,IMPRODUCT(AT468,AW468)))</f>
        <v>-0,0392114462432357+0,377144666936696i</v>
      </c>
      <c r="BD468">
        <f t="shared" ref="BD468:BD531" si="451">20*LOG(IMABS(BC468))</f>
        <v>-8.4231469862576986</v>
      </c>
      <c r="BE468" s="43">
        <f t="shared" ref="BE468:BE531" si="452">(180/PI())*IMARGUMENT(BC468)</f>
        <v>95.935672812442263</v>
      </c>
      <c r="BF468" s="41" t="str">
        <f t="shared" ref="BF468:BF531" si="453">IMPRODUCT(AC468,BC468)</f>
        <v>0,217368512929749-0,253435553981756i</v>
      </c>
      <c r="BG468" s="20">
        <f t="shared" ref="BG468:BG531" si="454">20*LOG(IMABS(BF468))</f>
        <v>-9.528082975119883</v>
      </c>
      <c r="BH468" s="43">
        <f t="shared" ref="BH468:BH531" si="455">(180/PI())*IMARGUMENT(BF468)</f>
        <v>-49.380720195177368</v>
      </c>
      <c r="BI468" s="41" t="str">
        <f t="shared" si="409"/>
        <v>0,396901200709544+0,196292133465337i</v>
      </c>
      <c r="BJ468" s="20">
        <f t="shared" ref="BJ468:BJ531" si="456">20*LOG(IMABS(BI468))</f>
        <v>-7.0760842157862669</v>
      </c>
      <c r="BK468" s="43">
        <f t="shared" si="410"/>
        <v>26.315236124181261</v>
      </c>
      <c r="BL468">
        <f t="shared" ref="BL468:BL531" si="457">IF($B$31=0,BJ468,BG468)</f>
        <v>-9.528082975119883</v>
      </c>
      <c r="BM468" s="43">
        <f t="shared" ref="BM468:BM531" si="458">IF($B$31=0,BK468,BH468)</f>
        <v>-49.380720195177368</v>
      </c>
    </row>
    <row r="469" spans="14:65" x14ac:dyDescent="0.25">
      <c r="N469" s="9">
        <v>51</v>
      </c>
      <c r="O469" s="34">
        <f t="shared" si="408"/>
        <v>323593.65692962846</v>
      </c>
      <c r="P469" s="33" t="str">
        <f t="shared" si="411"/>
        <v>54,631621870174</v>
      </c>
      <c r="Q469" s="4" t="str">
        <f t="shared" si="412"/>
        <v>1+16207,1373903444i</v>
      </c>
      <c r="R469" s="4">
        <f t="shared" si="424"/>
        <v>16207.137421195002</v>
      </c>
      <c r="S469" s="4">
        <f t="shared" si="425"/>
        <v>1.5707346255842112</v>
      </c>
      <c r="T469" s="4" t="str">
        <f t="shared" si="413"/>
        <v>1+40,663978214335i</v>
      </c>
      <c r="U469" s="4">
        <f t="shared" si="426"/>
        <v>40.676272250734975</v>
      </c>
      <c r="V469" s="4">
        <f t="shared" si="427"/>
        <v>1.546209492657044</v>
      </c>
      <c r="W469" t="str">
        <f t="shared" si="414"/>
        <v>1-8,09078740091003i</v>
      </c>
      <c r="X469" s="4">
        <f t="shared" si="428"/>
        <v>8.1523518549388232</v>
      </c>
      <c r="Y469" s="4">
        <f t="shared" si="429"/>
        <v>-1.4478226262547205</v>
      </c>
      <c r="Z469" t="str">
        <f t="shared" si="415"/>
        <v>0,58114858077964+1,11160875025168i</v>
      </c>
      <c r="AA469" s="4">
        <f t="shared" si="430"/>
        <v>1.2543554865261648</v>
      </c>
      <c r="AB469" s="4">
        <f t="shared" si="431"/>
        <v>1.0890758660452673</v>
      </c>
      <c r="AC469" s="47" t="str">
        <f t="shared" si="432"/>
        <v>-0,745314647419835-0,488486716725983i</v>
      </c>
      <c r="AD469" s="20">
        <f t="shared" si="433"/>
        <v>-1.0011758708502692</v>
      </c>
      <c r="AE469" s="43">
        <f t="shared" si="434"/>
        <v>-146.75876327061502</v>
      </c>
      <c r="AF469" t="str">
        <f t="shared" si="416"/>
        <v>171,265703090588</v>
      </c>
      <c r="AG469" t="str">
        <f t="shared" si="417"/>
        <v>1+16052,0348029243i</v>
      </c>
      <c r="AH469">
        <f t="shared" si="435"/>
        <v>16052.034834072998</v>
      </c>
      <c r="AI469">
        <f t="shared" si="436"/>
        <v>1.5707340293970287</v>
      </c>
      <c r="AJ469" t="str">
        <f t="shared" si="418"/>
        <v>1+40,663978214335i</v>
      </c>
      <c r="AK469">
        <f t="shared" si="437"/>
        <v>40.676272250734975</v>
      </c>
      <c r="AL469">
        <f t="shared" si="438"/>
        <v>1.546209492657044</v>
      </c>
      <c r="AM469" t="str">
        <f t="shared" si="419"/>
        <v>1-2,55615923834626i</v>
      </c>
      <c r="AN469">
        <f t="shared" si="439"/>
        <v>2.7448041918838095</v>
      </c>
      <c r="AO469">
        <f t="shared" si="440"/>
        <v>-1.1978887497339641</v>
      </c>
      <c r="AP469" s="41" t="str">
        <f t="shared" si="441"/>
        <v>0,406657607653368-1,11966075423594i</v>
      </c>
      <c r="AQ469">
        <f t="shared" si="442"/>
        <v>1.5198564406554416</v>
      </c>
      <c r="AR469" s="43">
        <f t="shared" si="443"/>
        <v>-70.039122135673708</v>
      </c>
      <c r="AS469" t="str">
        <f t="shared" si="420"/>
        <v>-0,0000166666666666667</v>
      </c>
      <c r="AT469" t="str">
        <f t="shared" si="421"/>
        <v>0,0030945287421109i</v>
      </c>
      <c r="AU469">
        <f t="shared" si="444"/>
        <v>3.0945287421109001E-3</v>
      </c>
      <c r="AV469">
        <f t="shared" si="445"/>
        <v>1.5707963267948966</v>
      </c>
      <c r="AW469" t="str">
        <f t="shared" si="422"/>
        <v>1+9,69843895650696i</v>
      </c>
      <c r="AX469">
        <f t="shared" si="446"/>
        <v>9.7498573421918238</v>
      </c>
      <c r="AY469">
        <f t="shared" si="447"/>
        <v>1.4680500402773429</v>
      </c>
      <c r="AZ469" t="str">
        <f t="shared" si="423"/>
        <v>1+670,955640536528i</v>
      </c>
      <c r="BA469">
        <f t="shared" si="448"/>
        <v>670.95638574186216</v>
      </c>
      <c r="BB469">
        <f t="shared" si="449"/>
        <v>1.5693059164024015</v>
      </c>
      <c r="BC469" s="41" t="str">
        <f t="shared" si="450"/>
        <v>-0,0374652056822224+0,368739859992099i</v>
      </c>
      <c r="BD469">
        <f t="shared" si="451"/>
        <v>-8.6209948365569407</v>
      </c>
      <c r="BE469" s="43">
        <f t="shared" si="452"/>
        <v>95.801534352865346</v>
      </c>
      <c r="BF469" s="41" t="str">
        <f t="shared" si="453"/>
        <v>0,208047890097096-0,256525963424478i</v>
      </c>
      <c r="BG469" s="20">
        <f t="shared" si="454"/>
        <v>-9.6221707074072178</v>
      </c>
      <c r="BH469" s="43">
        <f t="shared" si="455"/>
        <v>-50.957228917749696</v>
      </c>
      <c r="BI469" s="41" t="str">
        <f t="shared" si="409"/>
        <v>0,397628038842635+0,191899189762587i</v>
      </c>
      <c r="BJ469" s="20">
        <f t="shared" si="456"/>
        <v>-7.1011383959014882</v>
      </c>
      <c r="BK469" s="43">
        <f t="shared" si="410"/>
        <v>25.762412217191667</v>
      </c>
      <c r="BL469">
        <f t="shared" si="457"/>
        <v>-9.6221707074072178</v>
      </c>
      <c r="BM469" s="43">
        <f t="shared" si="458"/>
        <v>-50.957228917749696</v>
      </c>
    </row>
    <row r="470" spans="14:65" x14ac:dyDescent="0.25">
      <c r="N470" s="9">
        <v>52</v>
      </c>
      <c r="O470" s="34">
        <f t="shared" si="408"/>
        <v>331131.12148259126</v>
      </c>
      <c r="P470" s="33" t="str">
        <f t="shared" si="411"/>
        <v>54,631621870174</v>
      </c>
      <c r="Q470" s="4" t="str">
        <f t="shared" si="412"/>
        <v>1+16584,6501164709i</v>
      </c>
      <c r="R470" s="4">
        <f t="shared" si="424"/>
        <v>16584.65014661926</v>
      </c>
      <c r="S470" s="4">
        <f t="shared" si="425"/>
        <v>1.5707360300752333</v>
      </c>
      <c r="T470" s="4" t="str">
        <f t="shared" si="413"/>
        <v>1+41,6111639449864i</v>
      </c>
      <c r="U470" s="4">
        <f t="shared" si="426"/>
        <v>41.623178216668371</v>
      </c>
      <c r="V470" s="4">
        <f t="shared" si="427"/>
        <v>1.5467689394459796</v>
      </c>
      <c r="W470" t="str">
        <f t="shared" si="414"/>
        <v>1-8,27924604938468i</v>
      </c>
      <c r="X470" s="4">
        <f t="shared" si="428"/>
        <v>8.3394193530636063</v>
      </c>
      <c r="Y470" s="4">
        <f t="shared" si="429"/>
        <v>-1.4505946560868823</v>
      </c>
      <c r="Z470" t="str">
        <f t="shared" si="415"/>
        <v>0,561408721542723+1,13750144429052i</v>
      </c>
      <c r="AA470" s="4">
        <f t="shared" si="430"/>
        <v>1.2684988326314115</v>
      </c>
      <c r="AB470" s="4">
        <f t="shared" si="431"/>
        <v>1.1123256356902831</v>
      </c>
      <c r="AC470" s="47" t="str">
        <f t="shared" si="432"/>
        <v>-0,766242342456653-0,474762195996416i</v>
      </c>
      <c r="AD470" s="20">
        <f t="shared" si="433"/>
        <v>-0.90162481868912092</v>
      </c>
      <c r="AE470" s="43">
        <f t="shared" si="434"/>
        <v>-148.21772908753283</v>
      </c>
      <c r="AF470" t="str">
        <f t="shared" si="416"/>
        <v>171,265703090588</v>
      </c>
      <c r="AG470" t="str">
        <f t="shared" si="417"/>
        <v>1+16425,9347256793i</v>
      </c>
      <c r="AH470">
        <f t="shared" si="435"/>
        <v>16425.934756118968</v>
      </c>
      <c r="AI470">
        <f t="shared" si="436"/>
        <v>1.5707354474589279</v>
      </c>
      <c r="AJ470" t="str">
        <f t="shared" si="418"/>
        <v>1+41,6111639449864i</v>
      </c>
      <c r="AK470">
        <f t="shared" si="437"/>
        <v>41.623178216668371</v>
      </c>
      <c r="AL470">
        <f t="shared" si="438"/>
        <v>1.5467689394459796</v>
      </c>
      <c r="AM470" t="str">
        <f t="shared" si="419"/>
        <v>1-2,61569983575344i</v>
      </c>
      <c r="AN470">
        <f t="shared" si="439"/>
        <v>2.8003366995346424</v>
      </c>
      <c r="AO470">
        <f t="shared" si="440"/>
        <v>-1.2056350782453413</v>
      </c>
      <c r="AP470" s="41" t="str">
        <f t="shared" si="441"/>
        <v>0,406657577809036-1,14525078250745i</v>
      </c>
      <c r="AQ470">
        <f t="shared" si="442"/>
        <v>1.693715977481419</v>
      </c>
      <c r="AR470" s="43">
        <f t="shared" si="443"/>
        <v>-70.450981375191219</v>
      </c>
      <c r="AS470" t="str">
        <f t="shared" si="420"/>
        <v>-0,0000166666666666667</v>
      </c>
      <c r="AT470" t="str">
        <f t="shared" si="421"/>
        <v>0,00316660957621346i</v>
      </c>
      <c r="AU470">
        <f t="shared" si="444"/>
        <v>3.1666095762134601E-3</v>
      </c>
      <c r="AV470">
        <f t="shared" si="445"/>
        <v>1.5707963267948966</v>
      </c>
      <c r="AW470" t="str">
        <f t="shared" si="422"/>
        <v>1+9,92434462025628i</v>
      </c>
      <c r="AX470">
        <f t="shared" si="446"/>
        <v>9.9745985453856623</v>
      </c>
      <c r="AY470">
        <f t="shared" si="447"/>
        <v>1.4703729579781757</v>
      </c>
      <c r="AZ470" t="str">
        <f t="shared" si="423"/>
        <v>1+686,584205092276i</v>
      </c>
      <c r="BA470">
        <f t="shared" si="448"/>
        <v>686.58493333468391</v>
      </c>
      <c r="BB470">
        <f t="shared" si="449"/>
        <v>1.5693398422363132</v>
      </c>
      <c r="BC470" s="41" t="str">
        <f t="shared" si="450"/>
        <v>-0,0357959417724952+0,360514514940497i</v>
      </c>
      <c r="BD470">
        <f t="shared" si="451"/>
        <v>-8.818938553069934</v>
      </c>
      <c r="BE470" s="43">
        <f t="shared" si="452"/>
        <v>95.670384779551</v>
      </c>
      <c r="BF470" s="41" t="str">
        <f t="shared" si="453"/>
        <v>0,198587029075932-0,259246926493961i</v>
      </c>
      <c r="BG470" s="20">
        <f t="shared" si="454"/>
        <v>-9.7205633717590469</v>
      </c>
      <c r="BH470" s="43">
        <f t="shared" si="455"/>
        <v>-52.547344307981817</v>
      </c>
      <c r="BI470" s="41" t="str">
        <f t="shared" si="409"/>
        <v>0,398322839364302+0,187601289736243i</v>
      </c>
      <c r="BJ470" s="20">
        <f t="shared" si="456"/>
        <v>-7.1252225755885155</v>
      </c>
      <c r="BK470" s="43">
        <f t="shared" si="410"/>
        <v>25.219403404359731</v>
      </c>
      <c r="BL470">
        <f t="shared" si="457"/>
        <v>-9.7205633717590469</v>
      </c>
      <c r="BM470" s="43">
        <f t="shared" si="458"/>
        <v>-52.547344307981817</v>
      </c>
    </row>
    <row r="471" spans="14:65" x14ac:dyDescent="0.25">
      <c r="N471" s="9">
        <v>53</v>
      </c>
      <c r="O471" s="34">
        <f t="shared" si="408"/>
        <v>338844.15613920329</v>
      </c>
      <c r="P471" s="33" t="str">
        <f t="shared" si="411"/>
        <v>54,631621870174</v>
      </c>
      <c r="Q471" s="4" t="str">
        <f t="shared" si="412"/>
        <v>1+16970,9562436129i</v>
      </c>
      <c r="R471" s="4">
        <f t="shared" si="424"/>
        <v>16970.956273075</v>
      </c>
      <c r="S471" s="4">
        <f t="shared" si="425"/>
        <v>1.5707374025961369</v>
      </c>
      <c r="T471" s="4" t="str">
        <f t="shared" si="413"/>
        <v>1+42,5804124655502i</v>
      </c>
      <c r="U471" s="4">
        <f t="shared" si="426"/>
        <v>42.592153335284451</v>
      </c>
      <c r="V471" s="4">
        <f t="shared" si="427"/>
        <v>1.5473156662075991</v>
      </c>
      <c r="W471" t="str">
        <f t="shared" si="414"/>
        <v>1-8,47209446370347i</v>
      </c>
      <c r="X471" s="4">
        <f t="shared" si="428"/>
        <v>8.5309076071608594</v>
      </c>
      <c r="Y471" s="4">
        <f t="shared" si="429"/>
        <v>-1.4533053816575363</v>
      </c>
      <c r="Z471" t="str">
        <f t="shared" si="415"/>
        <v>0,540738551401243+1,16399725665172i</v>
      </c>
      <c r="AA471" s="4">
        <f t="shared" si="430"/>
        <v>1.283467099096913</v>
      </c>
      <c r="AB471" s="4">
        <f t="shared" si="431"/>
        <v>1.1359061528539627</v>
      </c>
      <c r="AC471" s="47" t="str">
        <f t="shared" si="432"/>
        <v>-0,786784961746946-0,459891548943657i</v>
      </c>
      <c r="AD471" s="20">
        <f t="shared" si="433"/>
        <v>-0.80644250521594907</v>
      </c>
      <c r="AE471" s="43">
        <f t="shared" si="434"/>
        <v>-149.69285983803158</v>
      </c>
      <c r="AF471" t="str">
        <f t="shared" si="416"/>
        <v>171,265703090588</v>
      </c>
      <c r="AG471" t="str">
        <f t="shared" si="417"/>
        <v>1+16808,5438964487i</v>
      </c>
      <c r="AH471">
        <f t="shared" si="435"/>
        <v>16808.543926195478</v>
      </c>
      <c r="AI471">
        <f t="shared" si="436"/>
        <v>1.5707368332417977</v>
      </c>
      <c r="AJ471" t="str">
        <f t="shared" si="418"/>
        <v>1+42,5804124655502i</v>
      </c>
      <c r="AK471">
        <f t="shared" si="437"/>
        <v>42.592153335284451</v>
      </c>
      <c r="AL471">
        <f t="shared" si="438"/>
        <v>1.5473156662075991</v>
      </c>
      <c r="AM471" t="str">
        <f t="shared" si="419"/>
        <v>1-2,67662731183642i</v>
      </c>
      <c r="AN471">
        <f t="shared" si="439"/>
        <v>2.8573298315855418</v>
      </c>
      <c r="AO471">
        <f t="shared" si="440"/>
        <v>-1.2132496723334538</v>
      </c>
      <c r="AP471" s="41" t="str">
        <f t="shared" si="441"/>
        <v>0,406657549307922-1,17144803790288i</v>
      </c>
      <c r="AQ471">
        <f t="shared" si="442"/>
        <v>1.8686056210170343</v>
      </c>
      <c r="AR471" s="43">
        <f t="shared" si="443"/>
        <v>-70.856019742667527</v>
      </c>
      <c r="AS471" t="str">
        <f t="shared" si="420"/>
        <v>-0,0000166666666666667</v>
      </c>
      <c r="AT471" t="str">
        <f t="shared" si="421"/>
        <v>0,00324036938862837i</v>
      </c>
      <c r="AU471">
        <f t="shared" si="444"/>
        <v>3.2403693886283698E-3</v>
      </c>
      <c r="AV471">
        <f t="shared" si="445"/>
        <v>1.5707963267948966</v>
      </c>
      <c r="AW471" t="str">
        <f t="shared" si="422"/>
        <v>1+10,1555123028875i</v>
      </c>
      <c r="AX471">
        <f t="shared" si="446"/>
        <v>10.20462787827657</v>
      </c>
      <c r="AY471">
        <f t="shared" si="447"/>
        <v>1.4726440508542147</v>
      </c>
      <c r="AZ471" t="str">
        <f t="shared" si="423"/>
        <v>1+702,576805681578i</v>
      </c>
      <c r="BA471">
        <f t="shared" si="448"/>
        <v>702.57751734718192</v>
      </c>
      <c r="BB471">
        <f t="shared" si="449"/>
        <v>1.5693729958272034</v>
      </c>
      <c r="BC471" s="41" t="str">
        <f t="shared" si="450"/>
        <v>-0,0342003301848584+0,352465320478606i</v>
      </c>
      <c r="BD471">
        <f t="shared" si="451"/>
        <v>-9.0169739079238092</v>
      </c>
      <c r="BE471" s="43">
        <f t="shared" si="452"/>
        <v>95.542160303705387</v>
      </c>
      <c r="BF471" s="41" t="str">
        <f t="shared" si="453"/>
        <v>0,189004127660055-0,261585970866786i</v>
      </c>
      <c r="BG471" s="20">
        <f t="shared" si="454"/>
        <v>-9.8234164131397641</v>
      </c>
      <c r="BH471" s="43">
        <f t="shared" si="455"/>
        <v>-54.150699534326222</v>
      </c>
      <c r="BI471" s="41" t="str">
        <f t="shared" si="409"/>
        <v>0,398986985644977+0,183396593132544i</v>
      </c>
      <c r="BJ471" s="20">
        <f t="shared" si="456"/>
        <v>-7.1483682869067682</v>
      </c>
      <c r="BK471" s="43">
        <f t="shared" si="410"/>
        <v>24.686140561037824</v>
      </c>
      <c r="BL471">
        <f t="shared" si="457"/>
        <v>-9.8234164131397641</v>
      </c>
      <c r="BM471" s="43">
        <f t="shared" si="458"/>
        <v>-54.150699534326222</v>
      </c>
    </row>
    <row r="472" spans="14:65" x14ac:dyDescent="0.25">
      <c r="N472" s="9">
        <v>54</v>
      </c>
      <c r="O472" s="34">
        <f t="shared" si="408"/>
        <v>346736.85045253241</v>
      </c>
      <c r="P472" s="33" t="str">
        <f t="shared" si="411"/>
        <v>54,631621870174</v>
      </c>
      <c r="Q472" s="4" t="str">
        <f t="shared" si="412"/>
        <v>1+17366,2605963924i</v>
      </c>
      <c r="R472" s="4">
        <f t="shared" si="424"/>
        <v>17366.260625183859</v>
      </c>
      <c r="S472" s="4">
        <f t="shared" si="425"/>
        <v>1.5707387438746505</v>
      </c>
      <c r="T472" s="4" t="str">
        <f t="shared" si="413"/>
        <v>1+43,5722376844216i</v>
      </c>
      <c r="U472" s="4">
        <f t="shared" si="426"/>
        <v>43.583711370507793</v>
      </c>
      <c r="V472" s="4">
        <f t="shared" si="427"/>
        <v>1.5478499615155412</v>
      </c>
      <c r="W472" t="str">
        <f t="shared" si="414"/>
        <v>1-8,66943489464833i</v>
      </c>
      <c r="X472" s="4">
        <f t="shared" si="428"/>
        <v>8.7269182070503035</v>
      </c>
      <c r="Y472" s="4">
        <f t="shared" si="429"/>
        <v>-1.4559560807955649</v>
      </c>
      <c r="Z472" t="str">
        <f t="shared" si="415"/>
        <v>0,51909422615303+1,19111023576573i</v>
      </c>
      <c r="AA472" s="4">
        <f t="shared" si="430"/>
        <v>1.2993084350420059</v>
      </c>
      <c r="AB472" s="4">
        <f t="shared" si="431"/>
        <v>1.1598077444464356</v>
      </c>
      <c r="AC472" s="47" t="str">
        <f t="shared" si="432"/>
        <v>-0,806860839956391-0,443875234871797i</v>
      </c>
      <c r="AD472" s="20">
        <f t="shared" si="433"/>
        <v>-0.71578726287710626</v>
      </c>
      <c r="AE472" s="43">
        <f t="shared" si="434"/>
        <v>-151.18365801673292</v>
      </c>
      <c r="AF472" t="str">
        <f t="shared" si="416"/>
        <v>171,265703090588</v>
      </c>
      <c r="AG472" t="str">
        <f t="shared" si="417"/>
        <v>1+17200,0651796794i</v>
      </c>
      <c r="AH472">
        <f t="shared" si="435"/>
        <v>17200.065208749056</v>
      </c>
      <c r="AI472">
        <f t="shared" si="436"/>
        <v>1.5707381874803983</v>
      </c>
      <c r="AJ472" t="str">
        <f t="shared" si="418"/>
        <v>1+43,5722376844216i</v>
      </c>
      <c r="AK472">
        <f t="shared" si="437"/>
        <v>43.583711370507793</v>
      </c>
      <c r="AL472">
        <f t="shared" si="438"/>
        <v>1.5478499615155412</v>
      </c>
      <c r="AM472" t="str">
        <f t="shared" si="419"/>
        <v>1-2,73897397114948i</v>
      </c>
      <c r="AN472">
        <f t="shared" si="439"/>
        <v>2.9158152229924226</v>
      </c>
      <c r="AO472">
        <f t="shared" si="440"/>
        <v>-1.2207330362745168</v>
      </c>
      <c r="AP472" s="41" t="str">
        <f t="shared" si="441"/>
        <v>0,406657522089569-1,19826641055379i</v>
      </c>
      <c r="AQ472">
        <f t="shared" si="442"/>
        <v>2.0444903443842928</v>
      </c>
      <c r="AR472" s="43">
        <f t="shared" si="443"/>
        <v>-71.254249639048311</v>
      </c>
      <c r="AS472" t="str">
        <f t="shared" si="420"/>
        <v>-0,0000166666666666667</v>
      </c>
      <c r="AT472" t="str">
        <f t="shared" si="421"/>
        <v>0,00331584728778448i</v>
      </c>
      <c r="AU472">
        <f t="shared" si="444"/>
        <v>3.3158472877844801E-3</v>
      </c>
      <c r="AV472">
        <f t="shared" si="445"/>
        <v>1.5707963267948966</v>
      </c>
      <c r="AW472" t="str">
        <f t="shared" si="422"/>
        <v>1+10,3920645725657i</v>
      </c>
      <c r="AX472">
        <f t="shared" si="446"/>
        <v>10.440067340796951</v>
      </c>
      <c r="AY472">
        <f t="shared" si="447"/>
        <v>1.4748644293056603</v>
      </c>
      <c r="AZ472" t="str">
        <f t="shared" si="423"/>
        <v>1+718,941921792957i</v>
      </c>
      <c r="BA472">
        <f t="shared" si="448"/>
        <v>718.94261725908996</v>
      </c>
      <c r="BB472">
        <f t="shared" si="449"/>
        <v>1.5694053947532531</v>
      </c>
      <c r="BC472" s="41" t="str">
        <f t="shared" si="450"/>
        <v>-0,0326751841416662+0,344588990907391i</v>
      </c>
      <c r="BD472">
        <f t="shared" si="451"/>
        <v>-9.215096856002468</v>
      </c>
      <c r="BE472" s="43">
        <f t="shared" si="452"/>
        <v>95.416798311239205</v>
      </c>
      <c r="BF472" s="41" t="str">
        <f t="shared" si="453"/>
        <v>0,179318845795528-0,263531657607901i</v>
      </c>
      <c r="BG472" s="20">
        <f t="shared" si="454"/>
        <v>-9.9308841188795842</v>
      </c>
      <c r="BH472" s="43">
        <f t="shared" si="455"/>
        <v>-55.766859705493722</v>
      </c>
      <c r="BI472" s="41" t="str">
        <f t="shared" si="409"/>
        <v>0,399621803834082+0,179283280797363i</v>
      </c>
      <c r="BJ472" s="20">
        <f t="shared" si="456"/>
        <v>-7.1706065116181659</v>
      </c>
      <c r="BK472" s="43">
        <f t="shared" si="410"/>
        <v>24.162548672190866</v>
      </c>
      <c r="BL472">
        <f t="shared" si="457"/>
        <v>-9.9308841188795842</v>
      </c>
      <c r="BM472" s="43">
        <f t="shared" si="458"/>
        <v>-55.766859705493722</v>
      </c>
    </row>
    <row r="473" spans="14:65" x14ac:dyDescent="0.25">
      <c r="N473" s="9">
        <v>55</v>
      </c>
      <c r="O473" s="34">
        <f t="shared" si="408"/>
        <v>354813.38923357555</v>
      </c>
      <c r="P473" s="33" t="str">
        <f t="shared" si="411"/>
        <v>54,631621870174</v>
      </c>
      <c r="Q473" s="4" t="str">
        <f t="shared" si="412"/>
        <v>1+17770,7727704096i</v>
      </c>
      <c r="R473" s="4">
        <f t="shared" si="424"/>
        <v>17770.772798545684</v>
      </c>
      <c r="S473" s="4">
        <f t="shared" si="425"/>
        <v>1.5707400546219381</v>
      </c>
      <c r="T473" s="4" t="str">
        <f t="shared" si="413"/>
        <v>1+44,5871654804598i</v>
      </c>
      <c r="U473" s="4">
        <f t="shared" si="426"/>
        <v>44.598378059991219</v>
      </c>
      <c r="V473" s="4">
        <f t="shared" si="427"/>
        <v>1.5483721074393433</v>
      </c>
      <c r="W473" t="str">
        <f t="shared" si="414"/>
        <v>1-8,87137197472783i</v>
      </c>
      <c r="X473" s="4">
        <f t="shared" si="428"/>
        <v>8.9275551364293673</v>
      </c>
      <c r="Y473" s="4">
        <f t="shared" si="429"/>
        <v>-1.4585480098615142</v>
      </c>
      <c r="Z473" t="str">
        <f t="shared" si="415"/>
        <v>0,496429835282334+1,21885475729294i</v>
      </c>
      <c r="AA473" s="4">
        <f t="shared" si="430"/>
        <v>1.3160735164625406</v>
      </c>
      <c r="AB473" s="4">
        <f t="shared" si="431"/>
        <v>1.184019561284896</v>
      </c>
      <c r="AC473" s="47" t="str">
        <f t="shared" si="432"/>
        <v>-0,826386292789802-0,426720519642701i</v>
      </c>
      <c r="AD473" s="20">
        <f t="shared" si="433"/>
        <v>-0.62981529379650014</v>
      </c>
      <c r="AE473" s="43">
        <f t="shared" si="434"/>
        <v>-152.6895578747604</v>
      </c>
      <c r="AF473" t="str">
        <f t="shared" si="416"/>
        <v>171,265703090588</v>
      </c>
      <c r="AG473" t="str">
        <f t="shared" si="417"/>
        <v>1+17600,7061651381i</v>
      </c>
      <c r="AH473">
        <f t="shared" si="435"/>
        <v>17600.706193546052</v>
      </c>
      <c r="AI473">
        <f t="shared" si="436"/>
        <v>1.5707395108927651</v>
      </c>
      <c r="AJ473" t="str">
        <f t="shared" si="418"/>
        <v>1+44,5871654804598i</v>
      </c>
      <c r="AK473">
        <f t="shared" si="437"/>
        <v>44.598378059991219</v>
      </c>
      <c r="AL473">
        <f t="shared" si="438"/>
        <v>1.5483721074393433</v>
      </c>
      <c r="AM473" t="str">
        <f t="shared" si="419"/>
        <v>1-2,80277287071664i</v>
      </c>
      <c r="AN473">
        <f t="shared" si="439"/>
        <v>2.9758252241731533</v>
      </c>
      <c r="AO473">
        <f t="shared" si="440"/>
        <v>-1.2280857842692938</v>
      </c>
      <c r="AP473" s="41" t="str">
        <f t="shared" si="441"/>
        <v>0,406657496096242-1,22572011991636i</v>
      </c>
      <c r="AQ473">
        <f t="shared" si="442"/>
        <v>2.2213358763417688</v>
      </c>
      <c r="AR473" s="43">
        <f t="shared" si="443"/>
        <v>-71.645690135191714</v>
      </c>
      <c r="AS473" t="str">
        <f t="shared" si="420"/>
        <v>-0,0000166666666666667</v>
      </c>
      <c r="AT473" t="str">
        <f t="shared" si="421"/>
        <v>0,003393083293063i</v>
      </c>
      <c r="AU473">
        <f t="shared" si="444"/>
        <v>3.3930832930629999E-3</v>
      </c>
      <c r="AV473">
        <f t="shared" si="445"/>
        <v>1.5707963267948966</v>
      </c>
      <c r="AW473" t="str">
        <f t="shared" si="422"/>
        <v>1+10,6341268524355i</v>
      </c>
      <c r="AX473">
        <f t="shared" si="446"/>
        <v>10.681041799079795</v>
      </c>
      <c r="AY473">
        <f t="shared" si="447"/>
        <v>1.4770351829852526</v>
      </c>
      <c r="AZ473" t="str">
        <f t="shared" si="423"/>
        <v>1+735,688230427587i</v>
      </c>
      <c r="BA473">
        <f t="shared" si="448"/>
        <v>735.68891006299282</v>
      </c>
      <c r="BB473">
        <f t="shared" si="449"/>
        <v>1.5694370561925295</v>
      </c>
      <c r="BC473" s="41" t="str">
        <f t="shared" si="450"/>
        <v>-0,0312174492538906+0,336882268671842i</v>
      </c>
      <c r="BD473">
        <f t="shared" si="451"/>
        <v>-9.4133035273697541</v>
      </c>
      <c r="BE473" s="43">
        <f t="shared" si="452"/>
        <v>95.294237353879936</v>
      </c>
      <c r="BF473" s="41" t="str">
        <f t="shared" si="453"/>
        <v>0,169552248905337-0,265073762946802i</v>
      </c>
      <c r="BG473" s="20">
        <f t="shared" si="454"/>
        <v>-10.043118821166248</v>
      </c>
      <c r="BH473" s="43">
        <f t="shared" si="455"/>
        <v>-57.395320520880468</v>
      </c>
      <c r="BI473" s="41" t="str">
        <f t="shared" si="409"/>
        <v>0,400228565006047+0,175259555500274i</v>
      </c>
      <c r="BJ473" s="20">
        <f t="shared" si="456"/>
        <v>-7.1919676510279906</v>
      </c>
      <c r="BK473" s="43">
        <f t="shared" si="410"/>
        <v>23.648547218688169</v>
      </c>
      <c r="BL473">
        <f t="shared" si="457"/>
        <v>-10.043118821166248</v>
      </c>
      <c r="BM473" s="43">
        <f t="shared" si="458"/>
        <v>-57.395320520880468</v>
      </c>
    </row>
    <row r="474" spans="14:65" x14ac:dyDescent="0.25">
      <c r="N474" s="9">
        <v>56</v>
      </c>
      <c r="O474" s="34">
        <f t="shared" si="408"/>
        <v>363078.05477010203</v>
      </c>
      <c r="P474" s="33" t="str">
        <f t="shared" si="411"/>
        <v>54,631621870174</v>
      </c>
      <c r="Q474" s="4" t="str">
        <f t="shared" si="412"/>
        <v>1+18184,7072433738i</v>
      </c>
      <c r="R474" s="4">
        <f t="shared" si="424"/>
        <v>18184.707270869429</v>
      </c>
      <c r="S474" s="4">
        <f t="shared" si="425"/>
        <v>1.5707413355329749</v>
      </c>
      <c r="T474" s="4" t="str">
        <f t="shared" si="413"/>
        <v>1+45,625733981817i</v>
      </c>
      <c r="U474" s="4">
        <f t="shared" si="426"/>
        <v>45.636691393872219</v>
      </c>
      <c r="V474" s="4">
        <f t="shared" si="427"/>
        <v>1.5488823796881845</v>
      </c>
      <c r="W474" t="str">
        <f t="shared" si="414"/>
        <v>1-9,0780127736549i</v>
      </c>
      <c r="X474" s="4">
        <f t="shared" si="428"/>
        <v>9.1329248282596485</v>
      </c>
      <c r="Y474" s="4">
        <f t="shared" si="429"/>
        <v>-1.4610824037525061</v>
      </c>
      <c r="Z474" t="str">
        <f t="shared" si="415"/>
        <v>0,472697304577434+1,24724553174593i</v>
      </c>
      <c r="AA474" s="4">
        <f t="shared" si="430"/>
        <v>1.3338156387653277</v>
      </c>
      <c r="AB474" s="4">
        <f t="shared" si="431"/>
        <v>1.2085295629222317</v>
      </c>
      <c r="AC474" s="47" t="str">
        <f t="shared" si="432"/>
        <v>-0,845276259481548-0,408441892903439i</v>
      </c>
      <c r="AD474" s="20">
        <f t="shared" si="433"/>
        <v>-0.54867983278230159</v>
      </c>
      <c r="AE474" s="43">
        <f t="shared" si="434"/>
        <v>-154.20992454255108</v>
      </c>
      <c r="AF474" t="str">
        <f t="shared" si="416"/>
        <v>171,265703090588</v>
      </c>
      <c r="AG474" t="str">
        <f t="shared" si="417"/>
        <v>1+18010,6792779785i</v>
      </c>
      <c r="AH474">
        <f t="shared" si="435"/>
        <v>18010.679305739806</v>
      </c>
      <c r="AI474">
        <f t="shared" si="436"/>
        <v>1.5707408041805888</v>
      </c>
      <c r="AJ474" t="str">
        <f t="shared" si="418"/>
        <v>1+45,625733981817i</v>
      </c>
      <c r="AK474">
        <f t="shared" si="437"/>
        <v>45.636691393872219</v>
      </c>
      <c r="AL474">
        <f t="shared" si="438"/>
        <v>1.5488823796881845</v>
      </c>
      <c r="AM474" t="str">
        <f t="shared" si="419"/>
        <v>1-2,86805783755896i</v>
      </c>
      <c r="AN474">
        <f t="shared" si="439"/>
        <v>3.0373929215008353</v>
      </c>
      <c r="AO474">
        <f t="shared" si="440"/>
        <v>-1.2353086337880825</v>
      </c>
      <c r="AP474" s="41" t="str">
        <f t="shared" si="441"/>
        <v>0,406657471272809-1,25382372231071i</v>
      </c>
      <c r="AQ474">
        <f t="shared" si="442"/>
        <v>2.3991087201582282</v>
      </c>
      <c r="AR474" s="43">
        <f t="shared" si="443"/>
        <v>-72.030366582349117</v>
      </c>
      <c r="AS474" t="str">
        <f t="shared" si="420"/>
        <v>-0,0000166666666666667</v>
      </c>
      <c r="AT474" t="str">
        <f t="shared" si="421"/>
        <v>0,00347211835601627i</v>
      </c>
      <c r="AU474">
        <f t="shared" si="444"/>
        <v>3.47211835601627E-3</v>
      </c>
      <c r="AV474">
        <f t="shared" si="445"/>
        <v>1.5707963267948966</v>
      </c>
      <c r="AW474" t="str">
        <f t="shared" si="422"/>
        <v>1+10,8818274871219i</v>
      </c>
      <c r="AX474">
        <f t="shared" si="446"/>
        <v>10.927679051815245</v>
      </c>
      <c r="AY474">
        <f t="shared" si="447"/>
        <v>1.4791573809785346</v>
      </c>
      <c r="AZ474" t="str">
        <f t="shared" si="423"/>
        <v>1+752,824610699981i</v>
      </c>
      <c r="BA474">
        <f t="shared" si="448"/>
        <v>752.8252748650101</v>
      </c>
      <c r="BB474">
        <f t="shared" si="449"/>
        <v>1.5694679969320926</v>
      </c>
      <c r="BC474" s="41" t="str">
        <f t="shared" si="450"/>
        <v>-0,0298241985044056+0,329341926655557i</v>
      </c>
      <c r="BD474">
        <f t="shared" si="451"/>
        <v>-9.6115902199779804</v>
      </c>
      <c r="BE474" s="43">
        <f t="shared" si="452"/>
        <v>95.174417139365758</v>
      </c>
      <c r="BF474" s="41" t="str">
        <f t="shared" si="453"/>
        <v>0,1597267268895-0,266203459762388i</v>
      </c>
      <c r="BG474" s="20">
        <f t="shared" si="454"/>
        <v>-10.160270052760296</v>
      </c>
      <c r="BH474" s="43">
        <f t="shared" si="455"/>
        <v>-59.035507403185377</v>
      </c>
      <c r="BI474" s="41" t="str">
        <f t="shared" si="409"/>
        <v>0,400808487245711+0,171323642661591i</v>
      </c>
      <c r="BJ474" s="20">
        <f t="shared" si="456"/>
        <v>-7.2124814998197611</v>
      </c>
      <c r="BK474" s="43">
        <f t="shared" si="410"/>
        <v>23.144050557016655</v>
      </c>
      <c r="BL474">
        <f t="shared" si="457"/>
        <v>-10.160270052760296</v>
      </c>
      <c r="BM474" s="43">
        <f t="shared" si="458"/>
        <v>-59.035507403185377</v>
      </c>
    </row>
    <row r="475" spans="14:65" x14ac:dyDescent="0.25">
      <c r="N475" s="9">
        <v>57</v>
      </c>
      <c r="O475" s="34">
        <f t="shared" si="408"/>
        <v>371535.2290971732</v>
      </c>
      <c r="P475" s="33" t="str">
        <f t="shared" si="411"/>
        <v>54,631621870174</v>
      </c>
      <c r="Q475" s="4" t="str">
        <f t="shared" si="412"/>
        <v>1+18608,2834888215i</v>
      </c>
      <c r="R475" s="4">
        <f t="shared" si="424"/>
        <v>18608.283515691255</v>
      </c>
      <c r="S475" s="4">
        <f t="shared" si="425"/>
        <v>1.570742587286917</v>
      </c>
      <c r="T475" s="4" t="str">
        <f t="shared" si="413"/>
        <v>1+46,6884938512592i</v>
      </c>
      <c r="U475" s="4">
        <f t="shared" si="426"/>
        <v>46.69920190002253</v>
      </c>
      <c r="V475" s="4">
        <f t="shared" si="427"/>
        <v>1.5493810477516483</v>
      </c>
      <c r="W475" t="str">
        <f t="shared" si="414"/>
        <v>1-9,28946685511623i</v>
      </c>
      <c r="X475" s="4">
        <f t="shared" si="428"/>
        <v>9.3431362214356604</v>
      </c>
      <c r="Y475" s="4">
        <f t="shared" si="429"/>
        <v>-1.4635604759367098</v>
      </c>
      <c r="Z475" t="str">
        <f t="shared" si="415"/>
        <v>0,447846294158843+1,27629761228909i</v>
      </c>
      <c r="AA475" s="4">
        <f t="shared" si="430"/>
        <v>1.3525908096414974</v>
      </c>
      <c r="AB475" s="4">
        <f t="shared" si="431"/>
        <v>1.2333245118078369</v>
      </c>
      <c r="AC475" s="47" t="str">
        <f t="shared" si="432"/>
        <v>-0,86344501951641-0,389061419860011i</v>
      </c>
      <c r="AD475" s="20">
        <f t="shared" si="433"/>
        <v>-0.47253027038650247</v>
      </c>
      <c r="AE475" s="43">
        <f t="shared" si="434"/>
        <v>-155.74405368922598</v>
      </c>
      <c r="AF475" t="str">
        <f t="shared" si="416"/>
        <v>171,265703090588</v>
      </c>
      <c r="AG475" t="str">
        <f t="shared" si="417"/>
        <v>1+18430,2018913716i</v>
      </c>
      <c r="AH475">
        <f t="shared" si="435"/>
        <v>18430.201918500981</v>
      </c>
      <c r="AI475">
        <f t="shared" si="436"/>
        <v>1.5707420680295878</v>
      </c>
      <c r="AJ475" t="str">
        <f t="shared" si="418"/>
        <v>1+46,6884938512592i</v>
      </c>
      <c r="AK475">
        <f t="shared" si="437"/>
        <v>46.69920190002253</v>
      </c>
      <c r="AL475">
        <f t="shared" si="438"/>
        <v>1.5493810477516483</v>
      </c>
      <c r="AM475" t="str">
        <f t="shared" si="419"/>
        <v>1-2,93486348662998i</v>
      </c>
      <c r="AN475">
        <f t="shared" si="439"/>
        <v>3.1005521581089202</v>
      </c>
      <c r="AO475">
        <f t="shared" si="440"/>
        <v>-1.2424023990335218</v>
      </c>
      <c r="AP475" s="41" t="str">
        <f t="shared" si="441"/>
        <v>0,406657447566615-1,28259211863882i</v>
      </c>
      <c r="AQ475">
        <f t="shared" si="442"/>
        <v>2.5777761689788887</v>
      </c>
      <c r="AR475" s="43">
        <f t="shared" si="443"/>
        <v>-72.408310229568471</v>
      </c>
      <c r="AS475" t="str">
        <f t="shared" si="420"/>
        <v>-0,0000166666666666667</v>
      </c>
      <c r="AT475" t="str">
        <f t="shared" si="421"/>
        <v>0,00355299438208083i</v>
      </c>
      <c r="AU475">
        <f t="shared" si="444"/>
        <v>3.5529943820808299E-3</v>
      </c>
      <c r="AV475">
        <f t="shared" si="445"/>
        <v>1.5707963267948966</v>
      </c>
      <c r="AW475" t="str">
        <f t="shared" si="422"/>
        <v>1+11,1352978107799i</v>
      </c>
      <c r="AX475">
        <f t="shared" si="446"/>
        <v>11.180109898152146</v>
      </c>
      <c r="AY475">
        <f t="shared" si="447"/>
        <v>1.4812320719984089</v>
      </c>
      <c r="AZ475" t="str">
        <f t="shared" si="423"/>
        <v>1+770,360148545777i</v>
      </c>
      <c r="BA475">
        <f t="shared" si="448"/>
        <v>770.36079759257711</v>
      </c>
      <c r="BB475">
        <f t="shared" si="449"/>
        <v>1.5694982333768954</v>
      </c>
      <c r="BC475" s="41" t="str">
        <f t="shared" si="450"/>
        <v>-0,0284926273779417+0,321964770246004i</v>
      </c>
      <c r="BD475">
        <f t="shared" si="451"/>
        <v>-9.8099533926541902</v>
      </c>
      <c r="BE475" s="43">
        <f t="shared" si="452"/>
        <v>95.057278520807913</v>
      </c>
      <c r="BF475" s="41" t="str">
        <f t="shared" si="453"/>
        <v>0,149865887859233-0,266913495265453i</v>
      </c>
      <c r="BG475" s="20">
        <f t="shared" si="454"/>
        <v>-10.282483663040701</v>
      </c>
      <c r="BH475" s="43">
        <f t="shared" si="455"/>
        <v>-60.686775168418094</v>
      </c>
      <c r="BI475" s="41" t="str">
        <f t="shared" si="409"/>
        <v>0,401362737672903+0,167473790988872i</v>
      </c>
      <c r="BJ475" s="20">
        <f t="shared" si="456"/>
        <v>-7.2321772236753015</v>
      </c>
      <c r="BK475" s="43">
        <f t="shared" si="410"/>
        <v>22.648968291239409</v>
      </c>
      <c r="BL475">
        <f t="shared" si="457"/>
        <v>-10.282483663040701</v>
      </c>
      <c r="BM475" s="43">
        <f t="shared" si="458"/>
        <v>-60.686775168418094</v>
      </c>
    </row>
    <row r="476" spans="14:65" x14ac:dyDescent="0.25">
      <c r="N476" s="9">
        <v>58</v>
      </c>
      <c r="O476" s="34">
        <f t="shared" si="408"/>
        <v>380189.39632056188</v>
      </c>
      <c r="P476" s="33" t="str">
        <f t="shared" si="411"/>
        <v>54,631621870174</v>
      </c>
      <c r="Q476" s="4" t="str">
        <f t="shared" si="412"/>
        <v>1+19041,7260924847i</v>
      </c>
      <c r="R476" s="4">
        <f t="shared" si="424"/>
        <v>19041.726118742823</v>
      </c>
      <c r="S476" s="4">
        <f t="shared" si="425"/>
        <v>1.5707438105474607</v>
      </c>
      <c r="T476" s="4" t="str">
        <f t="shared" si="413"/>
        <v>1+47,7760085781366i</v>
      </c>
      <c r="U476" s="4">
        <f t="shared" si="426"/>
        <v>47.78647293594895</v>
      </c>
      <c r="V476" s="4">
        <f t="shared" si="427"/>
        <v>1.5498683750375439</v>
      </c>
      <c r="W476" t="str">
        <f t="shared" si="414"/>
        <v>1-9,50584633486477i</v>
      </c>
      <c r="X476" s="4">
        <f t="shared" si="428"/>
        <v>9.5583008187680516</v>
      </c>
      <c r="Y476" s="4">
        <f t="shared" si="429"/>
        <v>-1.4659834185150076</v>
      </c>
      <c r="Z476" t="str">
        <f t="shared" si="415"/>
        <v>0,421824091701626+1,30602640272009i</v>
      </c>
      <c r="AA476" s="4">
        <f t="shared" si="430"/>
        <v>1.3724578423186196</v>
      </c>
      <c r="AB476" s="4">
        <f t="shared" si="431"/>
        <v>1.2583899776695882</v>
      </c>
      <c r="AC476" s="47" t="str">
        <f t="shared" si="432"/>
        <v>-0,880806976837777-0,368609014243929i</v>
      </c>
      <c r="AD476" s="20">
        <f t="shared" si="433"/>
        <v>-0.40151124463517046</v>
      </c>
      <c r="AE476" s="43">
        <f t="shared" si="434"/>
        <v>-157.29117176931558</v>
      </c>
      <c r="AF476" t="str">
        <f t="shared" si="416"/>
        <v>171,265703090588</v>
      </c>
      <c r="AG476" t="str">
        <f t="shared" si="417"/>
        <v>1+18859,4964417601i</v>
      </c>
      <c r="AH476">
        <f t="shared" si="435"/>
        <v>18859.49646827194</v>
      </c>
      <c r="AI476">
        <f t="shared" si="436"/>
        <v>1.5707433031098714</v>
      </c>
      <c r="AJ476" t="str">
        <f t="shared" si="418"/>
        <v>1+47,7760085781366i</v>
      </c>
      <c r="AK476">
        <f t="shared" si="437"/>
        <v>47.78647293594895</v>
      </c>
      <c r="AL476">
        <f t="shared" si="438"/>
        <v>1.5498683750375439</v>
      </c>
      <c r="AM476" t="str">
        <f t="shared" si="419"/>
        <v>1-3,00322523916911i</v>
      </c>
      <c r="AN476">
        <f t="shared" si="439"/>
        <v>3.1653375550140552</v>
      </c>
      <c r="AO476">
        <f t="shared" si="440"/>
        <v>-1.2493679845406371</v>
      </c>
      <c r="AP476" s="41" t="str">
        <f t="shared" si="441"/>
        <v>0,406657424927373-1,31204056228522i</v>
      </c>
      <c r="AQ476">
        <f t="shared" si="442"/>
        <v>2.7573063178890642</v>
      </c>
      <c r="AR476" s="43">
        <f t="shared" si="443"/>
        <v>-72.779557849127883</v>
      </c>
      <c r="AS476" t="str">
        <f t="shared" si="420"/>
        <v>-0,0000166666666666667</v>
      </c>
      <c r="AT476" t="str">
        <f t="shared" si="421"/>
        <v>0,0036357542527962i</v>
      </c>
      <c r="AU476">
        <f t="shared" si="444"/>
        <v>3.6357542527961999E-3</v>
      </c>
      <c r="AV476">
        <f t="shared" si="445"/>
        <v>1.5707963267948966</v>
      </c>
      <c r="AW476" t="str">
        <f t="shared" si="422"/>
        <v>1+11,3946722167303i</v>
      </c>
      <c r="AX476">
        <f t="shared" si="446"/>
        <v>11.438468207182526</v>
      </c>
      <c r="AY476">
        <f t="shared" si="447"/>
        <v>1.4832602845925613</v>
      </c>
      <c r="AZ476" t="str">
        <f t="shared" si="423"/>
        <v>1+788,304141539254i</v>
      </c>
      <c r="BA476">
        <f t="shared" si="448"/>
        <v>788.30477581195726</v>
      </c>
      <c r="BB476">
        <f t="shared" si="449"/>
        <v>1.5695277815584794</v>
      </c>
      <c r="BC476" s="41" t="str">
        <f t="shared" si="450"/>
        <v>-0,0272200491376017+0,314747639185539i</v>
      </c>
      <c r="BD476">
        <f t="shared" si="451"/>
        <v>-10.008389658355938</v>
      </c>
      <c r="BE476" s="43">
        <f t="shared" si="452"/>
        <v>94.942763485304724</v>
      </c>
      <c r="BF476" s="41" t="str">
        <f t="shared" si="453"/>
        <v>0,139994426206052-0,267198361057559i</v>
      </c>
      <c r="BG476" s="20">
        <f t="shared" si="454"/>
        <v>-10.409900902991115</v>
      </c>
      <c r="BH476" s="43">
        <f t="shared" si="455"/>
        <v>-62.348408284010851</v>
      </c>
      <c r="BI476" s="41" t="str">
        <f t="shared" si="409"/>
        <v>0,401892434406246+0,163708273029091i</v>
      </c>
      <c r="BJ476" s="20">
        <f t="shared" si="456"/>
        <v>-7.2510833404668853</v>
      </c>
      <c r="BK476" s="43">
        <f t="shared" si="410"/>
        <v>22.163205636176812</v>
      </c>
      <c r="BL476">
        <f t="shared" si="457"/>
        <v>-10.409900902991115</v>
      </c>
      <c r="BM476" s="43">
        <f t="shared" si="458"/>
        <v>-62.348408284010851</v>
      </c>
    </row>
    <row r="477" spans="14:65" x14ac:dyDescent="0.25">
      <c r="N477" s="9">
        <v>59</v>
      </c>
      <c r="O477" s="34">
        <f t="shared" si="408"/>
        <v>389045.14499428123</v>
      </c>
      <c r="P477" s="33" t="str">
        <f t="shared" si="411"/>
        <v>54,631621870174</v>
      </c>
      <c r="Q477" s="4" t="str">
        <f t="shared" si="412"/>
        <v>1+19485,2648713692i</v>
      </c>
      <c r="R477" s="4">
        <f t="shared" si="424"/>
        <v>19485.264897029618</v>
      </c>
      <c r="S477" s="4">
        <f t="shared" si="425"/>
        <v>1.5707450059631951</v>
      </c>
      <c r="T477" s="4" t="str">
        <f t="shared" si="413"/>
        <v>1+48,8888547771524i</v>
      </c>
      <c r="U477" s="4">
        <f t="shared" si="426"/>
        <v>48.899080987493996</v>
      </c>
      <c r="V477" s="4">
        <f t="shared" si="427"/>
        <v>1.5503446190068437</v>
      </c>
      <c r="W477" t="str">
        <f t="shared" si="414"/>
        <v>1-9,72726594016481i</v>
      </c>
      <c r="X477" s="4">
        <f t="shared" si="428"/>
        <v>9.778532746311706</v>
      </c>
      <c r="Y477" s="4">
        <f t="shared" si="429"/>
        <v>-1.4683524023075971</v>
      </c>
      <c r="Z477" t="str">
        <f t="shared" si="415"/>
        <v>0,394575500625514+1,33644766563711i</v>
      </c>
      <c r="AA477" s="4">
        <f t="shared" si="430"/>
        <v>1.3934784493061796</v>
      </c>
      <c r="AB477" s="4">
        <f t="shared" si="431"/>
        <v>1.2837103528942611</v>
      </c>
      <c r="AC477" s="47" t="str">
        <f t="shared" si="432"/>
        <v>-0,897277502274893-0,347122619713968i</v>
      </c>
      <c r="AD477" s="20">
        <f t="shared" si="433"/>
        <v>-0.33576171149939965</v>
      </c>
      <c r="AE477" s="43">
        <f t="shared" si="434"/>
        <v>-158.85043690124417</v>
      </c>
      <c r="AF477" t="str">
        <f t="shared" si="416"/>
        <v>171,265703090588</v>
      </c>
      <c r="AG477" t="str">
        <f t="shared" si="417"/>
        <v>1+19298,7905467969i</v>
      </c>
      <c r="AH477">
        <f t="shared" si="435"/>
        <v>19298.790572705257</v>
      </c>
      <c r="AI477">
        <f t="shared" si="436"/>
        <v>1.5707445100762956</v>
      </c>
      <c r="AJ477" t="str">
        <f t="shared" si="418"/>
        <v>1+48,8888547771524i</v>
      </c>
      <c r="AK477">
        <f t="shared" si="437"/>
        <v>48.899080987493996</v>
      </c>
      <c r="AL477">
        <f t="shared" si="438"/>
        <v>1.5503446190068437</v>
      </c>
      <c r="AM477" t="str">
        <f t="shared" si="419"/>
        <v>1-3,07317934148245i</v>
      </c>
      <c r="AN477">
        <f t="shared" si="439"/>
        <v>3.2317845325631631</v>
      </c>
      <c r="AO477">
        <f t="shared" si="440"/>
        <v>-1.2562063789309199</v>
      </c>
      <c r="AP477" s="41" t="str">
        <f t="shared" si="441"/>
        <v>0,406657403307067-1,34218466720456i</v>
      </c>
      <c r="AQ477">
        <f t="shared" si="442"/>
        <v>2.9376680728806166</v>
      </c>
      <c r="AR477" s="43">
        <f t="shared" si="443"/>
        <v>-73.144151370959705</v>
      </c>
      <c r="AS477" t="str">
        <f t="shared" si="420"/>
        <v>-0,0000166666666666667</v>
      </c>
      <c r="AT477" t="str">
        <f t="shared" si="421"/>
        <v>0,0037204418485413i</v>
      </c>
      <c r="AU477">
        <f t="shared" si="444"/>
        <v>3.7204418485412998E-3</v>
      </c>
      <c r="AV477">
        <f t="shared" si="445"/>
        <v>1.5707963267948966</v>
      </c>
      <c r="AW477" t="str">
        <f t="shared" si="422"/>
        <v>1+11,6600882287164i</v>
      </c>
      <c r="AX477">
        <f t="shared" si="446"/>
        <v>11.702890989044151</v>
      </c>
      <c r="AY477">
        <f t="shared" si="447"/>
        <v>1.4852430273623898</v>
      </c>
      <c r="AZ477" t="str">
        <f t="shared" si="423"/>
        <v>1+806,666103823015i</v>
      </c>
      <c r="BA477">
        <f t="shared" si="448"/>
        <v>806.66672365791999</v>
      </c>
      <c r="BB477">
        <f t="shared" si="449"/>
        <v>1.5695566571434754</v>
      </c>
      <c r="BC477" s="41" t="str">
        <f t="shared" si="450"/>
        <v>-0,0260038902473237+0,307687409222472i</v>
      </c>
      <c r="BD477">
        <f t="shared" si="451"/>
        <v>-10.206895777687802</v>
      </c>
      <c r="BE477" s="43">
        <f t="shared" si="452"/>
        <v>94.830815141884713</v>
      </c>
      <c r="BF477" s="41" t="str">
        <f t="shared" si="453"/>
        <v>0,130137965232857-0,267054451523167i</v>
      </c>
      <c r="BG477" s="20">
        <f t="shared" si="454"/>
        <v>-10.542657489187206</v>
      </c>
      <c r="BH477" s="43">
        <f t="shared" si="455"/>
        <v>-64.019621759359495</v>
      </c>
      <c r="BI477" s="41" t="str">
        <f t="shared" si="409"/>
        <v>0,402398648466438+0,160025385642317i</v>
      </c>
      <c r="BJ477" s="20">
        <f t="shared" si="456"/>
        <v>-7.269227704807192</v>
      </c>
      <c r="BK477" s="43">
        <f t="shared" si="410"/>
        <v>21.686663770924991</v>
      </c>
      <c r="BL477">
        <f t="shared" si="457"/>
        <v>-10.542657489187206</v>
      </c>
      <c r="BM477" s="43">
        <f t="shared" si="458"/>
        <v>-64.019621759359495</v>
      </c>
    </row>
    <row r="478" spans="14:65" x14ac:dyDescent="0.25">
      <c r="N478" s="9">
        <v>60</v>
      </c>
      <c r="O478" s="34">
        <f t="shared" si="408"/>
        <v>398107.17055349716</v>
      </c>
      <c r="P478" s="33" t="str">
        <f t="shared" si="411"/>
        <v>54,631621870174</v>
      </c>
      <c r="Q478" s="4" t="str">
        <f t="shared" si="412"/>
        <v>1+19939,1349956064i</v>
      </c>
      <c r="R478" s="4">
        <f t="shared" si="424"/>
        <v>19939.135020682712</v>
      </c>
      <c r="S478" s="4">
        <f t="shared" si="425"/>
        <v>1.5707461741679456</v>
      </c>
      <c r="T478" s="4" t="str">
        <f t="shared" si="413"/>
        <v>1+50,0276224940914i</v>
      </c>
      <c r="U478" s="4">
        <f t="shared" si="426"/>
        <v>50.037615974497825</v>
      </c>
      <c r="V478" s="4">
        <f t="shared" si="427"/>
        <v>1.5508100313057793</v>
      </c>
      <c r="W478" t="str">
        <f t="shared" si="414"/>
        <v>1-9,95384307062189i</v>
      </c>
      <c r="X478" s="4">
        <f t="shared" si="428"/>
        <v>10.003948814071741</v>
      </c>
      <c r="Y478" s="4">
        <f t="shared" si="429"/>
        <v>-1.4706685769634336</v>
      </c>
      <c r="Z478" t="str">
        <f t="shared" si="415"/>
        <v>0,366042723015554+1,36757753079642i</v>
      </c>
      <c r="AA478" s="4">
        <f t="shared" si="430"/>
        <v>1.4157173368338307</v>
      </c>
      <c r="AB478" s="4">
        <f t="shared" si="431"/>
        <v>1.3092688795401068</v>
      </c>
      <c r="AC478" s="47" t="str">
        <f t="shared" si="432"/>
        <v>-0,912773822403916-0,324648288038797i</v>
      </c>
      <c r="AD478" s="20">
        <f t="shared" si="433"/>
        <v>-0.27541400552301898</v>
      </c>
      <c r="AE478" s="43">
        <f t="shared" si="434"/>
        <v>-160.42094041375773</v>
      </c>
      <c r="AF478" t="str">
        <f t="shared" si="416"/>
        <v>171,265703090588</v>
      </c>
      <c r="AG478" t="str">
        <f t="shared" si="417"/>
        <v>1+19748,3171260313i</v>
      </c>
      <c r="AH478">
        <f t="shared" si="435"/>
        <v>19748.317151349911</v>
      </c>
      <c r="AI478">
        <f t="shared" si="436"/>
        <v>1.5707456895688099</v>
      </c>
      <c r="AJ478" t="str">
        <f t="shared" si="418"/>
        <v>1+50,0276224940914i</v>
      </c>
      <c r="AK478">
        <f t="shared" si="437"/>
        <v>50.037615974497825</v>
      </c>
      <c r="AL478">
        <f t="shared" si="438"/>
        <v>1.5508100313057793</v>
      </c>
      <c r="AM478" t="str">
        <f t="shared" si="419"/>
        <v>1-3,14476288416096i</v>
      </c>
      <c r="AN478">
        <f t="shared" si="439"/>
        <v>3.2999293322124883</v>
      </c>
      <c r="AO478">
        <f t="shared" si="440"/>
        <v>-1.2629186488348294</v>
      </c>
      <c r="AP478" s="41" t="str">
        <f t="shared" si="441"/>
        <v>0,406657382659834-1,37304041620026i</v>
      </c>
      <c r="AQ478">
        <f t="shared" si="442"/>
        <v>3.1188311569262872</v>
      </c>
      <c r="AR478" s="43">
        <f t="shared" si="443"/>
        <v>-73.502137526886997</v>
      </c>
      <c r="AS478" t="str">
        <f t="shared" si="420"/>
        <v>-0,0000166666666666667</v>
      </c>
      <c r="AT478" t="str">
        <f t="shared" si="421"/>
        <v>0,00380710207180036i</v>
      </c>
      <c r="AU478">
        <f t="shared" si="444"/>
        <v>3.8071020718003601E-3</v>
      </c>
      <c r="AV478">
        <f t="shared" si="445"/>
        <v>1.5707963267948966</v>
      </c>
      <c r="AW478" t="str">
        <f t="shared" si="422"/>
        <v>1+11,9316865738207i</v>
      </c>
      <c r="AX478">
        <f t="shared" si="446"/>
        <v>11.973518467680798</v>
      </c>
      <c r="AY478">
        <f t="shared" si="447"/>
        <v>1.4871812891921963</v>
      </c>
      <c r="AZ478" t="str">
        <f t="shared" si="423"/>
        <v>1+825,455771152508i</v>
      </c>
      <c r="BA478">
        <f t="shared" si="448"/>
        <v>825.45637687825854</v>
      </c>
      <c r="BB478">
        <f t="shared" si="449"/>
        <v>1.5695848754419077</v>
      </c>
      <c r="BC478" s="41" t="str">
        <f t="shared" si="450"/>
        <v>-0,0248416859392229+0,300780993575672i</v>
      </c>
      <c r="BD478">
        <f t="shared" si="451"/>
        <v>-10.405468652670816</v>
      </c>
      <c r="BE478" s="43">
        <f t="shared" si="452"/>
        <v>94.721377708850738</v>
      </c>
      <c r="BF478" s="41" t="str">
        <f t="shared" si="453"/>
        <v>0,120322875268652-0,266480206400348i</v>
      </c>
      <c r="BG478" s="20">
        <f t="shared" si="454"/>
        <v>-10.680882658193831</v>
      </c>
      <c r="BH478" s="43">
        <f t="shared" si="455"/>
        <v>-65.699562704907081</v>
      </c>
      <c r="BI478" s="41" t="str">
        <f t="shared" si="409"/>
        <v>0,402882405619367+0,156423450402414i</v>
      </c>
      <c r="BJ478" s="20">
        <f t="shared" si="456"/>
        <v>-7.2866374957445164</v>
      </c>
      <c r="BK478" s="43">
        <f t="shared" si="410"/>
        <v>21.219240181963745</v>
      </c>
      <c r="BL478">
        <f t="shared" si="457"/>
        <v>-10.680882658193831</v>
      </c>
      <c r="BM478" s="43">
        <f t="shared" si="458"/>
        <v>-65.699562704907081</v>
      </c>
    </row>
    <row r="479" spans="14:65" x14ac:dyDescent="0.25">
      <c r="N479" s="9">
        <v>61</v>
      </c>
      <c r="O479" s="34">
        <f t="shared" si="408"/>
        <v>407380.27780411334</v>
      </c>
      <c r="P479" s="33" t="str">
        <f t="shared" si="411"/>
        <v>54,631621870174</v>
      </c>
      <c r="Q479" s="4" t="str">
        <f t="shared" si="412"/>
        <v>1+20403,577113144i</v>
      </c>
      <c r="R479" s="4">
        <f t="shared" si="424"/>
        <v>20403.577137649507</v>
      </c>
      <c r="S479" s="4">
        <f t="shared" si="425"/>
        <v>1.5707473157811094</v>
      </c>
      <c r="T479" s="4" t="str">
        <f t="shared" si="413"/>
        <v>1+51,1929155186708i</v>
      </c>
      <c r="U479" s="4">
        <f t="shared" si="426"/>
        <v>51.202681563583816</v>
      </c>
      <c r="V479" s="4">
        <f t="shared" si="427"/>
        <v>1.5512648578951518</v>
      </c>
      <c r="W479" t="str">
        <f t="shared" si="414"/>
        <v>1-10,1856978604297i</v>
      </c>
      <c r="X479" s="4">
        <f t="shared" si="428"/>
        <v>10.234668578120258</v>
      </c>
      <c r="Y479" s="4">
        <f t="shared" si="429"/>
        <v>-1.4729330710905288</v>
      </c>
      <c r="Z479" t="str">
        <f t="shared" si="415"/>
        <v>0,336165237024974+1,3994325036646i</v>
      </c>
      <c r="AA479" s="4">
        <f t="shared" si="430"/>
        <v>1.4392423002736641</v>
      </c>
      <c r="AB479" s="4">
        <f t="shared" si="431"/>
        <v>1.3350476884396076</v>
      </c>
      <c r="AC479" s="47" t="str">
        <f t="shared" si="432"/>
        <v>-0,927215940657863-0,30124014403823i</v>
      </c>
      <c r="AD479" s="20">
        <f t="shared" si="433"/>
        <v>-0.22059290320300595</v>
      </c>
      <c r="AE479" s="43">
        <f t="shared" si="434"/>
        <v>-162.00170908642289</v>
      </c>
      <c r="AF479" t="str">
        <f t="shared" si="416"/>
        <v>171,265703090588</v>
      </c>
      <c r="AG479" t="str">
        <f t="shared" si="417"/>
        <v>1+20208,3145244058i</v>
      </c>
      <c r="AH479">
        <f t="shared" si="435"/>
        <v>20208.31454914809</v>
      </c>
      <c r="AI479">
        <f t="shared" si="436"/>
        <v>1.5707468422127968</v>
      </c>
      <c r="AJ479" t="str">
        <f t="shared" si="418"/>
        <v>1+51,1929155186708i</v>
      </c>
      <c r="AK479">
        <f t="shared" si="437"/>
        <v>51.202681563583816</v>
      </c>
      <c r="AL479">
        <f t="shared" si="438"/>
        <v>1.5512648578951518</v>
      </c>
      <c r="AM479" t="str">
        <f t="shared" si="419"/>
        <v>1-3,21801382174653i</v>
      </c>
      <c r="AN479">
        <f t="shared" si="439"/>
        <v>3.3698090386476958</v>
      </c>
      <c r="AO479">
        <f t="shared" si="440"/>
        <v>-1.2695059329948584</v>
      </c>
      <c r="AP479" s="41" t="str">
        <f t="shared" si="441"/>
        <v>0,406657362941881-1,40462416939888i</v>
      </c>
      <c r="AQ479">
        <f t="shared" si="442"/>
        <v>3.3007661133674668</v>
      </c>
      <c r="AR479" s="43">
        <f t="shared" si="443"/>
        <v>-73.853567505364381</v>
      </c>
      <c r="AS479" t="str">
        <f t="shared" si="420"/>
        <v>-0,0000166666666666667</v>
      </c>
      <c r="AT479" t="str">
        <f t="shared" si="421"/>
        <v>0,00389578087097085i</v>
      </c>
      <c r="AU479">
        <f t="shared" si="444"/>
        <v>3.8957808709708499E-3</v>
      </c>
      <c r="AV479">
        <f t="shared" si="445"/>
        <v>1.5707963267948966</v>
      </c>
      <c r="AW479" t="str">
        <f t="shared" si="422"/>
        <v>1+12,2096112570811i</v>
      </c>
      <c r="AX479">
        <f t="shared" si="446"/>
        <v>12.250494155300085</v>
      </c>
      <c r="AY479">
        <f t="shared" si="447"/>
        <v>1.4890760394874789</v>
      </c>
      <c r="AZ479" t="str">
        <f t="shared" si="423"/>
        <v>1+844,683106058068i</v>
      </c>
      <c r="BA479">
        <f t="shared" si="448"/>
        <v>844.68369799582695</v>
      </c>
      <c r="BB479">
        <f t="shared" si="449"/>
        <v>1.5696124514153122</v>
      </c>
      <c r="BC479" s="41" t="str">
        <f t="shared" si="450"/>
        <v>-0,0237310759243532+0,294025344225447i</v>
      </c>
      <c r="BD479">
        <f t="shared" si="451"/>
        <v>-10.604105320757478</v>
      </c>
      <c r="BE479" s="43">
        <f t="shared" si="452"/>
        <v>94.614396500591909</v>
      </c>
      <c r="BF479" s="41" t="str">
        <f t="shared" si="453"/>
        <v>0,110576068931386-0,265476233393615i</v>
      </c>
      <c r="BG479" s="20">
        <f t="shared" si="454"/>
        <v>-10.824698223960498</v>
      </c>
      <c r="BH479" s="43">
        <f t="shared" si="455"/>
        <v>-67.387312585830955</v>
      </c>
      <c r="BI479" s="41" t="str">
        <f t="shared" si="409"/>
        <v>0,403344688159717+0,152900813929985i</v>
      </c>
      <c r="BJ479" s="20">
        <f t="shared" si="456"/>
        <v>-7.3033392073900183</v>
      </c>
      <c r="BK479" s="43">
        <f t="shared" si="410"/>
        <v>20.760828995227481</v>
      </c>
      <c r="BL479">
        <f t="shared" si="457"/>
        <v>-10.824698223960498</v>
      </c>
      <c r="BM479" s="43">
        <f t="shared" si="458"/>
        <v>-67.387312585830955</v>
      </c>
    </row>
    <row r="480" spans="14:65" x14ac:dyDescent="0.25">
      <c r="N480" s="9">
        <v>62</v>
      </c>
      <c r="O480" s="34">
        <f t="shared" si="408"/>
        <v>416869.38347033598</v>
      </c>
      <c r="P480" s="33" t="str">
        <f t="shared" si="411"/>
        <v>54,631621870174</v>
      </c>
      <c r="Q480" s="4" t="str">
        <f t="shared" si="412"/>
        <v>1+20878,8374773403i</v>
      </c>
      <c r="R480" s="4">
        <f t="shared" si="424"/>
        <v>20878.837501287995</v>
      </c>
      <c r="S480" s="4">
        <f t="shared" si="425"/>
        <v>1.5707484314079854</v>
      </c>
      <c r="T480" s="4" t="str">
        <f t="shared" si="413"/>
        <v>1+52,3853517046766i</v>
      </c>
      <c r="U480" s="4">
        <f t="shared" si="426"/>
        <v>52.394895488231136</v>
      </c>
      <c r="V480" s="4">
        <f t="shared" si="427"/>
        <v>1.5517093391768975</v>
      </c>
      <c r="W480" t="str">
        <f t="shared" si="414"/>
        <v>1-10,4229532420668i</v>
      </c>
      <c r="X480" s="4">
        <f t="shared" si="428"/>
        <v>10.470814404157435</v>
      </c>
      <c r="Y480" s="4">
        <f t="shared" si="429"/>
        <v>-1.4751469924052529</v>
      </c>
      <c r="Z480" t="str">
        <f t="shared" si="415"/>
        <v>0,304879668500245+1,4320294741699i</v>
      </c>
      <c r="AA480" s="4">
        <f t="shared" si="430"/>
        <v>1.4641243209359442</v>
      </c>
      <c r="AB480" s="4">
        <f t="shared" si="431"/>
        <v>1.3610278506458506</v>
      </c>
      <c r="AC480" s="47" t="str">
        <f t="shared" si="432"/>
        <v>-0,940527574336488-0,276960229415425i</v>
      </c>
      <c r="AD480" s="20">
        <f t="shared" si="433"/>
        <v>-0.17141470267823036</v>
      </c>
      <c r="AE480" s="43">
        <f t="shared" si="434"/>
        <v>-163.59170809860854</v>
      </c>
      <c r="AF480" t="str">
        <f t="shared" si="416"/>
        <v>171,265703090588</v>
      </c>
      <c r="AG480" t="str">
        <f t="shared" si="417"/>
        <v>1+20679,0266386299i</v>
      </c>
      <c r="AH480">
        <f t="shared" si="435"/>
        <v>20679.026662808985</v>
      </c>
      <c r="AI480">
        <f t="shared" si="436"/>
        <v>1.5707479686194035</v>
      </c>
      <c r="AJ480" t="str">
        <f t="shared" si="418"/>
        <v>1+52,3853517046766i</v>
      </c>
      <c r="AK480">
        <f t="shared" si="437"/>
        <v>52.394895488231136</v>
      </c>
      <c r="AL480">
        <f t="shared" si="438"/>
        <v>1.5517093391768975</v>
      </c>
      <c r="AM480" t="str">
        <f t="shared" si="419"/>
        <v>1-3,29297099285584i</v>
      </c>
      <c r="AN480">
        <f t="shared" si="439"/>
        <v>3.4414616022541904</v>
      </c>
      <c r="AO480">
        <f t="shared" si="440"/>
        <v>-1.2759694365590681</v>
      </c>
      <c r="AP480" s="41" t="str">
        <f t="shared" si="441"/>
        <v>0,406657344111381-1,43695267292442i</v>
      </c>
      <c r="AQ480">
        <f t="shared" si="442"/>
        <v>3.483444306814337</v>
      </c>
      <c r="AR480" s="43">
        <f t="shared" si="443"/>
        <v>-74.198496617289308</v>
      </c>
      <c r="AS480" t="str">
        <f t="shared" si="420"/>
        <v>-0,0000166666666666667</v>
      </c>
      <c r="AT480" t="str">
        <f t="shared" si="421"/>
        <v>0,00398652526472589i</v>
      </c>
      <c r="AU480">
        <f t="shared" si="444"/>
        <v>3.98652526472589E-3</v>
      </c>
      <c r="AV480">
        <f t="shared" si="445"/>
        <v>1.5707963267948966</v>
      </c>
      <c r="AW480" t="str">
        <f t="shared" si="422"/>
        <v>1+12,4940096378434i</v>
      </c>
      <c r="AX480">
        <f t="shared" si="446"/>
        <v>12.53396492856605</v>
      </c>
      <c r="AY480">
        <f t="shared" si="447"/>
        <v>1.4909282284212173</v>
      </c>
      <c r="AZ480" t="str">
        <f t="shared" si="423"/>
        <v>1+864,358303127164i</v>
      </c>
      <c r="BA480">
        <f t="shared" si="448"/>
        <v>864.35888159078354</v>
      </c>
      <c r="BB480">
        <f t="shared" si="449"/>
        <v>1.5696393996846671</v>
      </c>
      <c r="BC480" s="41" t="str">
        <f t="shared" si="450"/>
        <v>-0,0226698002451025+0,287417453042822i</v>
      </c>
      <c r="BD480">
        <f t="shared" si="451"/>
        <v>-10.802802949082244</v>
      </c>
      <c r="BE480" s="43">
        <f t="shared" si="452"/>
        <v>94.509817913927066</v>
      </c>
      <c r="BF480" s="41" t="str">
        <f t="shared" si="453"/>
        <v>0,100924775967956-0,264045406855651i</v>
      </c>
      <c r="BG480" s="20">
        <f t="shared" si="454"/>
        <v>-10.974217651760487</v>
      </c>
      <c r="BH480" s="43">
        <f t="shared" si="455"/>
        <v>-69.081890184681455</v>
      </c>
      <c r="BI480" s="41" t="str">
        <f t="shared" si="409"/>
        <v>0,403786436635803+0,149455848162514i</v>
      </c>
      <c r="BJ480" s="20">
        <f t="shared" si="456"/>
        <v>-7.3193586422679093</v>
      </c>
      <c r="BK480" s="43">
        <f t="shared" si="410"/>
        <v>20.311321296637733</v>
      </c>
      <c r="BL480">
        <f t="shared" si="457"/>
        <v>-10.974217651760487</v>
      </c>
      <c r="BM480" s="43">
        <f t="shared" si="458"/>
        <v>-69.081890184681455</v>
      </c>
    </row>
    <row r="481" spans="14:65" x14ac:dyDescent="0.25">
      <c r="N481" s="9">
        <v>63</v>
      </c>
      <c r="O481" s="34">
        <f t="shared" si="408"/>
        <v>426579.51880159322</v>
      </c>
      <c r="P481" s="33" t="str">
        <f t="shared" si="411"/>
        <v>54,631621870174</v>
      </c>
      <c r="Q481" s="4" t="str">
        <f t="shared" si="412"/>
        <v>1+21365,1680775311i</v>
      </c>
      <c r="R481" s="4">
        <f t="shared" si="424"/>
        <v>21365.168100933675</v>
      </c>
      <c r="S481" s="4">
        <f t="shared" si="425"/>
        <v>1.5707495216400933</v>
      </c>
      <c r="T481" s="4" t="str">
        <f t="shared" si="413"/>
        <v>1+53,6055632975582i</v>
      </c>
      <c r="U481" s="4">
        <f t="shared" si="426"/>
        <v>53.614889876306925</v>
      </c>
      <c r="V481" s="4">
        <f t="shared" si="427"/>
        <v>1.5521437101179656</v>
      </c>
      <c r="W481" t="str">
        <f t="shared" si="414"/>
        <v>1-10,665735011477i</v>
      </c>
      <c r="X481" s="4">
        <f t="shared" si="428"/>
        <v>10.712511532551378</v>
      </c>
      <c r="Y481" s="4">
        <f t="shared" si="429"/>
        <v>-1.4773114278988935</v>
      </c>
      <c r="Z481" t="str">
        <f t="shared" si="415"/>
        <v>0,272119656556002+1,46538572565755i</v>
      </c>
      <c r="AA481" s="4">
        <f t="shared" si="430"/>
        <v>1.4904376647297466</v>
      </c>
      <c r="AB481" s="4">
        <f t="shared" si="431"/>
        <v>1.3871894412464372</v>
      </c>
      <c r="AC481" s="47" t="str">
        <f t="shared" si="432"/>
        <v>-0,952637089361244-0,251878220255924i</v>
      </c>
      <c r="AD481" s="20">
        <f t="shared" si="433"/>
        <v>-0.12798633395753486</v>
      </c>
      <c r="AE481" s="43">
        <f t="shared" si="434"/>
        <v>-165.18984468821733</v>
      </c>
      <c r="AF481" t="str">
        <f t="shared" si="416"/>
        <v>171,265703090588</v>
      </c>
      <c r="AG481" t="str">
        <f t="shared" si="417"/>
        <v>1+21160,703046497i</v>
      </c>
      <c r="AH481">
        <f t="shared" si="435"/>
        <v>21160.703070125703</v>
      </c>
      <c r="AI481">
        <f t="shared" si="436"/>
        <v>1.5707490693858654</v>
      </c>
      <c r="AJ481" t="str">
        <f t="shared" si="418"/>
        <v>1+53,6055632975582i</v>
      </c>
      <c r="AK481">
        <f t="shared" si="437"/>
        <v>53.614889876306925</v>
      </c>
      <c r="AL481">
        <f t="shared" si="438"/>
        <v>1.5521437101179656</v>
      </c>
      <c r="AM481" t="str">
        <f t="shared" si="419"/>
        <v>1-3,36967414077318i</v>
      </c>
      <c r="AN481">
        <f t="shared" si="439"/>
        <v>3.5149258619486514</v>
      </c>
      <c r="AO481">
        <f t="shared" si="440"/>
        <v>-1.2823104255730968</v>
      </c>
      <c r="AP481" s="41" t="str">
        <f t="shared" si="441"/>
        <v>0,406657326128393-1,47004306777738i</v>
      </c>
      <c r="AQ481">
        <f t="shared" si="442"/>
        <v>3.6668379217562115</v>
      </c>
      <c r="AR481" s="43">
        <f t="shared" si="443"/>
        <v>-74.536983973338138</v>
      </c>
      <c r="AS481" t="str">
        <f t="shared" si="420"/>
        <v>-0,0000166666666666667</v>
      </c>
      <c r="AT481" t="str">
        <f t="shared" si="421"/>
        <v>0,00407938336694418i</v>
      </c>
      <c r="AU481">
        <f t="shared" si="444"/>
        <v>4.0793833669441797E-3</v>
      </c>
      <c r="AV481">
        <f t="shared" si="445"/>
        <v>1.5707963267948966</v>
      </c>
      <c r="AW481" t="str">
        <f t="shared" si="422"/>
        <v>1+12,7850325078933i</v>
      </c>
      <c r="AX481">
        <f t="shared" si="446"/>
        <v>12.824081106570109</v>
      </c>
      <c r="AY481">
        <f t="shared" si="447"/>
        <v>1.492738787187156</v>
      </c>
      <c r="AZ481" t="str">
        <f t="shared" si="423"/>
        <v>1+884,49179440971i</v>
      </c>
      <c r="BA481">
        <f t="shared" si="448"/>
        <v>884.49235970589871</v>
      </c>
      <c r="BB481">
        <f t="shared" si="449"/>
        <v>1.5696657345381446</v>
      </c>
      <c r="BC481" s="41" t="str">
        <f t="shared" si="450"/>
        <v>-0,021655695267117+0,280954352768501i</v>
      </c>
      <c r="BD481">
        <f t="shared" si="451"/>
        <v>-11.001558828941935</v>
      </c>
      <c r="BE481" s="43">
        <f t="shared" si="452"/>
        <v>94.407589414036721</v>
      </c>
      <c r="BF481" s="41" t="str">
        <f t="shared" si="453"/>
        <v>0,0913963008558455-0,262192938882471i</v>
      </c>
      <c r="BG481" s="20">
        <f t="shared" si="454"/>
        <v>-11.129545162899468</v>
      </c>
      <c r="BH481" s="43">
        <f t="shared" si="455"/>
        <v>-70.782255274180599</v>
      </c>
      <c r="BI481" s="41" t="str">
        <f t="shared" si="409"/>
        <v>0,404208551516438+0,146086950566297i</v>
      </c>
      <c r="BJ481" s="20">
        <f t="shared" si="456"/>
        <v>-7.33472090718573</v>
      </c>
      <c r="BK481" s="43">
        <f t="shared" si="410"/>
        <v>19.870605440698654</v>
      </c>
      <c r="BL481">
        <f t="shared" si="457"/>
        <v>-11.129545162899468</v>
      </c>
      <c r="BM481" s="43">
        <f t="shared" si="458"/>
        <v>-70.782255274180599</v>
      </c>
    </row>
    <row r="482" spans="14:65" x14ac:dyDescent="0.25">
      <c r="N482" s="9">
        <v>64</v>
      </c>
      <c r="O482" s="34">
        <f t="shared" si="408"/>
        <v>436515.83224016649</v>
      </c>
      <c r="P482" s="33" t="str">
        <f t="shared" si="411"/>
        <v>54,631621870174</v>
      </c>
      <c r="Q482" s="4" t="str">
        <f t="shared" si="412"/>
        <v>1+21862,826772638i</v>
      </c>
      <c r="R482" s="4">
        <f t="shared" si="424"/>
        <v>21862.82679550787</v>
      </c>
      <c r="S482" s="4">
        <f t="shared" si="425"/>
        <v>1.5707505870554885</v>
      </c>
      <c r="T482" s="4" t="str">
        <f t="shared" si="413"/>
        <v>1+54,8541972696536i</v>
      </c>
      <c r="U482" s="4">
        <f t="shared" si="426"/>
        <v>54.863311585230363</v>
      </c>
      <c r="V482" s="4">
        <f t="shared" si="427"/>
        <v>1.5525682003715526</v>
      </c>
      <c r="W482" t="str">
        <f t="shared" si="414"/>
        <v>1-10,9141718947678i</v>
      </c>
      <c r="X482" s="4">
        <f t="shared" si="428"/>
        <v>10.95988814489178</v>
      </c>
      <c r="Y482" s="4">
        <f t="shared" si="429"/>
        <v>-1.4794274440198454</v>
      </c>
      <c r="Z482" t="str">
        <f t="shared" si="415"/>
        <v>0,2378157128147+1,49951894405361i</v>
      </c>
      <c r="AA482" s="4">
        <f t="shared" si="430"/>
        <v>1.5182599832825794</v>
      </c>
      <c r="AB482" s="4">
        <f t="shared" si="431"/>
        <v>1.4135116153197504</v>
      </c>
      <c r="AC482" s="47" t="str">
        <f t="shared" si="432"/>
        <v>-0,963478413289416-0,226071016037574i</v>
      </c>
      <c r="AD482" s="20">
        <f t="shared" si="433"/>
        <v>-9.0404514265175179E-2</v>
      </c>
      <c r="AE482" s="43">
        <f t="shared" si="434"/>
        <v>-166.79497250716963</v>
      </c>
      <c r="AF482" t="str">
        <f t="shared" si="416"/>
        <v>171,265703090588</v>
      </c>
      <c r="AG482" t="str">
        <f t="shared" si="417"/>
        <v>1+21653,5991392144i</v>
      </c>
      <c r="AH482">
        <f t="shared" si="435"/>
        <v>21653.599162305247</v>
      </c>
      <c r="AI482">
        <f t="shared" si="436"/>
        <v>1.5707501450958239</v>
      </c>
      <c r="AJ482" t="str">
        <f t="shared" si="418"/>
        <v>1+54,8541972696536i</v>
      </c>
      <c r="AK482">
        <f t="shared" si="437"/>
        <v>54.863311585230363</v>
      </c>
      <c r="AL482">
        <f t="shared" si="438"/>
        <v>1.5525682003715526</v>
      </c>
      <c r="AM482" t="str">
        <f t="shared" si="419"/>
        <v>1-3,44816393452286i</v>
      </c>
      <c r="AN482">
        <f t="shared" si="439"/>
        <v>3.5902415683828535</v>
      </c>
      <c r="AO482">
        <f t="shared" si="440"/>
        <v>-1.2885302216767271</v>
      </c>
      <c r="AP482" s="41" t="str">
        <f t="shared" si="441"/>
        <v>0,406657308954772-1,50391289892312i</v>
      </c>
      <c r="AQ482">
        <f t="shared" si="442"/>
        <v>3.8509199590720131</v>
      </c>
      <c r="AR482" s="43">
        <f t="shared" si="443"/>
        <v>-74.86909217317374</v>
      </c>
      <c r="AS482" t="str">
        <f t="shared" si="420"/>
        <v>-0,0000166666666666667</v>
      </c>
      <c r="AT482" t="str">
        <f t="shared" si="421"/>
        <v>0,00417440441222064i</v>
      </c>
      <c r="AU482">
        <f t="shared" si="444"/>
        <v>4.17440441222064E-3</v>
      </c>
      <c r="AV482">
        <f t="shared" si="445"/>
        <v>1.5707963267948966</v>
      </c>
      <c r="AW482" t="str">
        <f t="shared" si="422"/>
        <v>1+13,0828341714088i</v>
      </c>
      <c r="AX482">
        <f t="shared" si="446"/>
        <v>13.120996530621513</v>
      </c>
      <c r="AY482">
        <f t="shared" si="447"/>
        <v>1.4945086282591449</v>
      </c>
      <c r="AZ482" t="str">
        <f t="shared" si="423"/>
        <v>1+905,094254949285i</v>
      </c>
      <c r="BA482">
        <f t="shared" si="448"/>
        <v>905.09480737776926</v>
      </c>
      <c r="BB482">
        <f t="shared" si="449"/>
        <v>1.5696914699386866</v>
      </c>
      <c r="BC482" s="41" t="str">
        <f t="shared" si="450"/>
        <v>-0,020686689808417+0,274633117852262i</v>
      </c>
      <c r="BD482">
        <f t="shared" si="451"/>
        <v>-11.200370370497318</v>
      </c>
      <c r="BE482" s="43">
        <f t="shared" si="452"/>
        <v>94.307659520037987</v>
      </c>
      <c r="BF482" s="41" t="str">
        <f t="shared" si="453"/>
        <v>0,0820177670632516-0,25992641964158i</v>
      </c>
      <c r="BG482" s="20">
        <f t="shared" si="454"/>
        <v>-11.290774884762484</v>
      </c>
      <c r="BH482" s="43">
        <f t="shared" si="455"/>
        <v>-72.487312987131702</v>
      </c>
      <c r="BI482" s="41" t="str">
        <f t="shared" si="409"/>
        <v>0,404611894800817+0,142792544294559i</v>
      </c>
      <c r="BJ482" s="20">
        <f t="shared" si="456"/>
        <v>-7.3494504114253143</v>
      </c>
      <c r="BK482" s="43">
        <f t="shared" si="410"/>
        <v>19.438567346864204</v>
      </c>
      <c r="BL482">
        <f t="shared" si="457"/>
        <v>-11.290774884762484</v>
      </c>
      <c r="BM482" s="43">
        <f t="shared" si="458"/>
        <v>-72.487312987131702</v>
      </c>
    </row>
    <row r="483" spans="14:65" x14ac:dyDescent="0.25">
      <c r="N483" s="9">
        <v>65</v>
      </c>
      <c r="O483" s="34">
        <f t="shared" si="408"/>
        <v>446683.59215096442</v>
      </c>
      <c r="P483" s="33" t="str">
        <f t="shared" si="411"/>
        <v>54,631621870174</v>
      </c>
      <c r="Q483" s="4" t="str">
        <f t="shared" si="412"/>
        <v>1+22372,0774278886i</v>
      </c>
      <c r="R483" s="4">
        <f t="shared" si="424"/>
        <v>22372.077450237884</v>
      </c>
      <c r="S483" s="4">
        <f t="shared" si="425"/>
        <v>1.570751628219069</v>
      </c>
      <c r="T483" s="4" t="str">
        <f t="shared" si="413"/>
        <v>1+56,1319156632228i</v>
      </c>
      <c r="U483" s="4">
        <f t="shared" si="426"/>
        <v>56.140822544946353</v>
      </c>
      <c r="V483" s="4">
        <f t="shared" si="427"/>
        <v>1.5529830343957411</v>
      </c>
      <c r="W483" t="str">
        <f t="shared" si="414"/>
        <v>1-11,1683956164635i</v>
      </c>
      <c r="X483" s="4">
        <f t="shared" si="428"/>
        <v>11.213075432094493</v>
      </c>
      <c r="Y483" s="4">
        <f t="shared" si="429"/>
        <v>-1.481496086869913</v>
      </c>
      <c r="Z483" t="str">
        <f t="shared" si="415"/>
        <v>0,201895074012441+1,5344472272423i</v>
      </c>
      <c r="AA483" s="4">
        <f t="shared" si="430"/>
        <v>1.5476724182145496</v>
      </c>
      <c r="AB483" s="4">
        <f t="shared" si="431"/>
        <v>1.4399726955471868</v>
      </c>
      <c r="AC483" s="47" t="str">
        <f t="shared" si="432"/>
        <v>-0,972991906350881-0,199622201393448i</v>
      </c>
      <c r="AD483" s="20">
        <f t="shared" si="433"/>
        <v>-5.8754963053665649E-2</v>
      </c>
      <c r="AE483" s="43">
        <f t="shared" si="434"/>
        <v>-168.40589664568213</v>
      </c>
      <c r="AF483" t="str">
        <f t="shared" si="416"/>
        <v>171,265703090588</v>
      </c>
      <c r="AG483" t="str">
        <f t="shared" si="417"/>
        <v>1+22157,9762568147i</v>
      </c>
      <c r="AH483">
        <f t="shared" si="435"/>
        <v>22157.976279379938</v>
      </c>
      <c r="AI483">
        <f t="shared" si="436"/>
        <v>1.5707511963196343</v>
      </c>
      <c r="AJ483" t="str">
        <f t="shared" si="418"/>
        <v>1+56,1319156632228i</v>
      </c>
      <c r="AK483">
        <f t="shared" si="437"/>
        <v>56.140822544946353</v>
      </c>
      <c r="AL483">
        <f t="shared" si="438"/>
        <v>1.5529830343957411</v>
      </c>
      <c r="AM483" t="str">
        <f t="shared" si="419"/>
        <v>1-3,52848199043248i</v>
      </c>
      <c r="AN483">
        <f t="shared" si="439"/>
        <v>3.6674494075319366</v>
      </c>
      <c r="AO483">
        <f t="shared" si="440"/>
        <v>-1.2946301970094398</v>
      </c>
      <c r="AP483" s="41" t="str">
        <f t="shared" si="441"/>
        <v>0,406657292554093-1,53858012459444i</v>
      </c>
      <c r="AQ483">
        <f t="shared" si="442"/>
        <v>4.0356642306263355</v>
      </c>
      <c r="AR483" s="43">
        <f t="shared" si="443"/>
        <v>-75.194887006775303</v>
      </c>
      <c r="AS483" t="str">
        <f t="shared" si="420"/>
        <v>-0,0000166666666666667</v>
      </c>
      <c r="AT483" t="str">
        <f t="shared" si="421"/>
        <v>0,00427163878197125i</v>
      </c>
      <c r="AU483">
        <f t="shared" si="444"/>
        <v>4.2716387819712502E-3</v>
      </c>
      <c r="AV483">
        <f t="shared" si="445"/>
        <v>1.5707963267948966</v>
      </c>
      <c r="AW483" t="str">
        <f t="shared" si="422"/>
        <v>1+13,3875725267739i</v>
      </c>
      <c r="AX483">
        <f t="shared" si="446"/>
        <v>13.424868645898599</v>
      </c>
      <c r="AY483">
        <f t="shared" si="447"/>
        <v>1.4962386456556482</v>
      </c>
      <c r="AZ483" t="str">
        <f t="shared" si="423"/>
        <v>1+926,176608443176i</v>
      </c>
      <c r="BA483">
        <f t="shared" si="448"/>
        <v>926.17714829686008</v>
      </c>
      <c r="BB483">
        <f t="shared" si="449"/>
        <v>1.5697166195314065</v>
      </c>
      <c r="BC483" s="41" t="str">
        <f t="shared" si="450"/>
        <v>-0,0197608014031489+0,268450865162889i</v>
      </c>
      <c r="BD483">
        <f t="shared" si="451"/>
        <v>-11.399235097687782</v>
      </c>
      <c r="BE483" s="43">
        <f t="shared" si="452"/>
        <v>94.209977790253475</v>
      </c>
      <c r="BF483" s="41" t="str">
        <f t="shared" si="453"/>
        <v>0,0728158524980626-0,257255824378987i</v>
      </c>
      <c r="BG483" s="20">
        <f t="shared" si="454"/>
        <v>-11.457990060741459</v>
      </c>
      <c r="BH483" s="43">
        <f t="shared" si="455"/>
        <v>-74.19591885542863</v>
      </c>
      <c r="BI483" s="41" t="str">
        <f t="shared" si="409"/>
        <v>0,404997291572499+0,139571078295887i</v>
      </c>
      <c r="BJ483" s="20">
        <f t="shared" si="456"/>
        <v>-7.3635708670614548</v>
      </c>
      <c r="BK483" s="43">
        <f t="shared" si="410"/>
        <v>19.015090783478179</v>
      </c>
      <c r="BL483">
        <f t="shared" si="457"/>
        <v>-11.457990060741459</v>
      </c>
      <c r="BM483" s="43">
        <f t="shared" si="458"/>
        <v>-74.19591885542863</v>
      </c>
    </row>
    <row r="484" spans="14:65" x14ac:dyDescent="0.25">
      <c r="N484" s="9">
        <v>66</v>
      </c>
      <c r="O484" s="34">
        <f t="shared" ref="O484:O518" si="459">10^(5+(N484/100))</f>
        <v>457088.18961487547</v>
      </c>
      <c r="P484" s="33" t="str">
        <f t="shared" si="411"/>
        <v>54,631621870174</v>
      </c>
      <c r="Q484" s="4" t="str">
        <f t="shared" si="412"/>
        <v>1+22893,1900547208i</v>
      </c>
      <c r="R484" s="4">
        <f t="shared" si="424"/>
        <v>22893.190076561354</v>
      </c>
      <c r="S484" s="4">
        <f t="shared" si="425"/>
        <v>1.5707526456828727</v>
      </c>
      <c r="T484" s="4" t="str">
        <f t="shared" si="413"/>
        <v>1+57,43939594147i</v>
      </c>
      <c r="U484" s="4">
        <f t="shared" si="426"/>
        <v>57.448100108889243</v>
      </c>
      <c r="V484" s="4">
        <f t="shared" si="427"/>
        <v>1.5533884315695923</v>
      </c>
      <c r="W484" t="str">
        <f t="shared" si="414"/>
        <v>1-11,4285409693462i</v>
      </c>
      <c r="X484" s="4">
        <f t="shared" si="428"/>
        <v>11.472207664090838</v>
      </c>
      <c r="Y484" s="4">
        <f t="shared" si="429"/>
        <v>-1.4835183824132776</v>
      </c>
      <c r="Z484" t="str">
        <f t="shared" si="415"/>
        <v>0,164281547658382+1,57018909466168i</v>
      </c>
      <c r="AA484" s="4">
        <f t="shared" si="430"/>
        <v>1.5787597093590586</v>
      </c>
      <c r="AB484" s="4">
        <f t="shared" si="431"/>
        <v>1.466550270729565</v>
      </c>
      <c r="AC484" s="47" t="str">
        <f t="shared" si="432"/>
        <v>-0,981125170183893-0,172621385475869i</v>
      </c>
      <c r="AD484" s="20">
        <f t="shared" si="433"/>
        <v>-3.3111690810877371E-2</v>
      </c>
      <c r="AE484" s="43">
        <f t="shared" si="434"/>
        <v>-170.0213792821805</v>
      </c>
      <c r="AF484" t="str">
        <f t="shared" si="416"/>
        <v>171,265703090588</v>
      </c>
      <c r="AG484" t="str">
        <f t="shared" si="417"/>
        <v>1+22674,1018267217i</v>
      </c>
      <c r="AH484">
        <f t="shared" si="435"/>
        <v>22674.101848773287</v>
      </c>
      <c r="AI484">
        <f t="shared" si="436"/>
        <v>1.5707522236146696</v>
      </c>
      <c r="AJ484" t="str">
        <f t="shared" si="418"/>
        <v>1+57,43939594147i</v>
      </c>
      <c r="AK484">
        <f t="shared" si="437"/>
        <v>57.448100108889243</v>
      </c>
      <c r="AL484">
        <f t="shared" si="438"/>
        <v>1.5533884315695923</v>
      </c>
      <c r="AM484" t="str">
        <f t="shared" si="419"/>
        <v>1-3,6106708941984i</v>
      </c>
      <c r="AN484">
        <f t="shared" si="439"/>
        <v>3.7465910246798324</v>
      </c>
      <c r="AO484">
        <f t="shared" si="440"/>
        <v>-1.3006117693278085</v>
      </c>
      <c r="AP484" s="41" t="str">
        <f t="shared" si="441"/>
        <v>0,406657276891566-1,57406312581327i</v>
      </c>
      <c r="AQ484">
        <f t="shared" si="442"/>
        <v>4.22104535212861</v>
      </c>
      <c r="AR484" s="43">
        <f t="shared" si="443"/>
        <v>-75.514437168051757</v>
      </c>
      <c r="AS484" t="str">
        <f t="shared" si="420"/>
        <v>-0,0000166666666666667</v>
      </c>
      <c r="AT484" t="str">
        <f t="shared" si="421"/>
        <v>0,00437113803114587i</v>
      </c>
      <c r="AU484">
        <f t="shared" si="444"/>
        <v>4.3711380311458698E-3</v>
      </c>
      <c r="AV484">
        <f t="shared" si="445"/>
        <v>1.5707963267948966</v>
      </c>
      <c r="AW484" t="str">
        <f t="shared" si="422"/>
        <v>1+13,699409150298i</v>
      </c>
      <c r="AX484">
        <f t="shared" si="446"/>
        <v>13.735858585005474</v>
      </c>
      <c r="AY484">
        <f t="shared" si="447"/>
        <v>1.4979297152086248</v>
      </c>
      <c r="AZ484" t="str">
        <f t="shared" si="423"/>
        <v>1+947,750033034255i</v>
      </c>
      <c r="BA484">
        <f t="shared" si="448"/>
        <v>947.75056059937606</v>
      </c>
      <c r="BB484">
        <f t="shared" si="449"/>
        <v>1.5697411966508241</v>
      </c>
      <c r="BC484" s="41" t="str">
        <f t="shared" si="450"/>
        <v>-0,0188761326972322+0,262404754578127i</v>
      </c>
      <c r="BD484">
        <f t="shared" si="451"/>
        <v>-11.598150643351834</v>
      </c>
      <c r="BE484" s="43">
        <f t="shared" si="452"/>
        <v>94.114494807220055</v>
      </c>
      <c r="BF484" s="41" t="str">
        <f t="shared" si="453"/>
        <v>0,0638165211957173-0,254193485313905i</v>
      </c>
      <c r="BG484" s="20">
        <f t="shared" si="454"/>
        <v>-11.631262334162709</v>
      </c>
      <c r="BH484" s="43">
        <f t="shared" si="455"/>
        <v>-75.906884474960478</v>
      </c>
      <c r="BI484" s="41" t="str">
        <f t="shared" si="409"/>
        <v>0,40536553149861+0,136421027376812i</v>
      </c>
      <c r="BJ484" s="20">
        <f t="shared" si="456"/>
        <v>-7.3771052912232289</v>
      </c>
      <c r="BK484" s="43">
        <f t="shared" si="410"/>
        <v>18.600057639168288</v>
      </c>
      <c r="BL484">
        <f t="shared" si="457"/>
        <v>-11.631262334162709</v>
      </c>
      <c r="BM484" s="43">
        <f t="shared" si="458"/>
        <v>-75.906884474960478</v>
      </c>
    </row>
    <row r="485" spans="14:65" x14ac:dyDescent="0.25">
      <c r="N485" s="9">
        <v>67</v>
      </c>
      <c r="O485" s="34">
        <f t="shared" si="459"/>
        <v>467735.14128719864</v>
      </c>
      <c r="P485" s="33" t="str">
        <f t="shared" si="411"/>
        <v>54,631621870174</v>
      </c>
      <c r="Q485" s="4" t="str">
        <f t="shared" si="412"/>
        <v>1+23426,4409539472i</v>
      </c>
      <c r="R485" s="4">
        <f t="shared" si="424"/>
        <v>23426.440975290599</v>
      </c>
      <c r="S485" s="4">
        <f t="shared" si="425"/>
        <v>1.5707536399863729</v>
      </c>
      <c r="T485" s="4" t="str">
        <f t="shared" si="413"/>
        <v>1+58,7773313477458i</v>
      </c>
      <c r="U485" s="4">
        <f t="shared" si="426"/>
        <v>58.785837413127837</v>
      </c>
      <c r="V485" s="4">
        <f t="shared" si="427"/>
        <v>1.5537846063067424</v>
      </c>
      <c r="W485" t="str">
        <f t="shared" si="414"/>
        <v>1-11,6947458859254i</v>
      </c>
      <c r="X485" s="4">
        <f t="shared" si="428"/>
        <v>11.737422261142736</v>
      </c>
      <c r="Y485" s="4">
        <f t="shared" si="429"/>
        <v>-1.4854953366968258</v>
      </c>
      <c r="Z485" t="str">
        <f t="shared" si="415"/>
        <v>0,124895350420179+1,60676349712296i</v>
      </c>
      <c r="AA485" s="4">
        <f t="shared" si="430"/>
        <v>1.6116103078112227</v>
      </c>
      <c r="AB485" s="4">
        <f t="shared" si="431"/>
        <v>1.4932213041958662</v>
      </c>
      <c r="AC485" s="47" t="str">
        <f t="shared" si="432"/>
        <v>-0,987833774579976-0,145163427438939i</v>
      </c>
      <c r="AD485" s="20">
        <f t="shared" si="433"/>
        <v>-1.3536374943732528E-2</v>
      </c>
      <c r="AE485" s="43">
        <f t="shared" si="434"/>
        <v>-171.64014590079509</v>
      </c>
      <c r="AF485" t="str">
        <f t="shared" si="416"/>
        <v>171,265703090588</v>
      </c>
      <c r="AG485" t="str">
        <f t="shared" si="417"/>
        <v>1+23202,2495055446i</v>
      </c>
      <c r="AH485">
        <f t="shared" si="435"/>
        <v>23202.249527094235</v>
      </c>
      <c r="AI485">
        <f t="shared" si="436"/>
        <v>1.5707532275256149</v>
      </c>
      <c r="AJ485" t="str">
        <f t="shared" si="418"/>
        <v>1+58,7773313477458i</v>
      </c>
      <c r="AK485">
        <f t="shared" si="437"/>
        <v>58.785837413127837</v>
      </c>
      <c r="AL485">
        <f t="shared" si="438"/>
        <v>1.5537846063067424</v>
      </c>
      <c r="AM485" t="str">
        <f t="shared" si="419"/>
        <v>1-3,6947742234653i</v>
      </c>
      <c r="AN485">
        <f t="shared" si="439"/>
        <v>3.8277090488154415</v>
      </c>
      <c r="AO485">
        <f t="shared" si="440"/>
        <v>-1.3064763973362179</v>
      </c>
      <c r="AP485" s="41" t="str">
        <f t="shared" si="441"/>
        <v>0,406657261933967-1,61038071613652i</v>
      </c>
      <c r="AQ485">
        <f t="shared" si="442"/>
        <v>4.4070387344258943</v>
      </c>
      <c r="AR485" s="43">
        <f t="shared" si="443"/>
        <v>-75.827813980819585</v>
      </c>
      <c r="AS485" t="str">
        <f t="shared" si="420"/>
        <v>-0,0000166666666666667</v>
      </c>
      <c r="AT485" t="str">
        <f t="shared" si="421"/>
        <v>0,00447295491556346i</v>
      </c>
      <c r="AU485">
        <f t="shared" si="444"/>
        <v>4.4729549155634596E-3</v>
      </c>
      <c r="AV485">
        <f t="shared" si="445"/>
        <v>1.5707963267948966</v>
      </c>
      <c r="AW485" t="str">
        <f t="shared" si="422"/>
        <v>1+14,0185093818868i</v>
      </c>
      <c r="AX485">
        <f t="shared" si="446"/>
        <v>14.054131253480174</v>
      </c>
      <c r="AY485">
        <f t="shared" si="447"/>
        <v>1.4995826948360318</v>
      </c>
      <c r="AZ485" t="str">
        <f t="shared" si="423"/>
        <v>1+969,825967237806i</v>
      </c>
      <c r="BA485">
        <f t="shared" si="448"/>
        <v>969.82648279408522</v>
      </c>
      <c r="BB485">
        <f t="shared" si="449"/>
        <v>1.5697652143279346</v>
      </c>
      <c r="BC485" s="41" t="str">
        <f t="shared" si="450"/>
        <v>-0,0180308679730117+0,256491989463546i</v>
      </c>
      <c r="BD485">
        <f t="shared" si="451"/>
        <v>-11.797114744547439</v>
      </c>
      <c r="BE485" s="43">
        <f t="shared" si="452"/>
        <v>94.021162162480621</v>
      </c>
      <c r="BF485" s="41" t="str">
        <f t="shared" si="453"/>
        <v>0,0550447566698939-0,250754027506641i</v>
      </c>
      <c r="BG485" s="20">
        <f t="shared" si="454"/>
        <v>-11.810651119491162</v>
      </c>
      <c r="BH485" s="43">
        <f t="shared" si="455"/>
        <v>-77.618983738314469</v>
      </c>
      <c r="BI485" s="41" t="str">
        <f t="shared" si="409"/>
        <v>0,405717370275388+0,133340892222183i</v>
      </c>
      <c r="BJ485" s="20">
        <f t="shared" si="456"/>
        <v>-7.3900760101215504</v>
      </c>
      <c r="BK485" s="43">
        <f t="shared" si="410"/>
        <v>18.193348181661033</v>
      </c>
      <c r="BL485">
        <f t="shared" si="457"/>
        <v>-11.810651119491162</v>
      </c>
      <c r="BM485" s="43">
        <f t="shared" si="458"/>
        <v>-77.618983738314469</v>
      </c>
    </row>
    <row r="486" spans="14:65" x14ac:dyDescent="0.25">
      <c r="N486" s="9">
        <v>68</v>
      </c>
      <c r="O486" s="34">
        <f t="shared" si="459"/>
        <v>478630.09232263872</v>
      </c>
      <c r="P486" s="33" t="str">
        <f t="shared" si="411"/>
        <v>54,631621870174</v>
      </c>
      <c r="Q486" s="4" t="str">
        <f t="shared" si="412"/>
        <v>1+23972,112862253i</v>
      </c>
      <c r="R486" s="4">
        <f t="shared" si="424"/>
        <v>23972.112883110567</v>
      </c>
      <c r="S486" s="4">
        <f t="shared" si="425"/>
        <v>1.5707546116567623</v>
      </c>
      <c r="T486" s="4" t="str">
        <f t="shared" si="413"/>
        <v>1+60,1464312731122i</v>
      </c>
      <c r="U486" s="4">
        <f t="shared" si="426"/>
        <v>60.154743743874505</v>
      </c>
      <c r="V486" s="4">
        <f t="shared" si="427"/>
        <v>1.5541717681665443</v>
      </c>
      <c r="W486" t="str">
        <f t="shared" si="414"/>
        <v>1-11,9671515115717i</v>
      </c>
      <c r="X486" s="4">
        <f t="shared" si="428"/>
        <v>12.008859866819698</v>
      </c>
      <c r="Y486" s="4">
        <f t="shared" si="429"/>
        <v>-1.4874279360805791</v>
      </c>
      <c r="Z486" t="str">
        <f t="shared" si="415"/>
        <v>0,08365293889289+1,64418982685844i</v>
      </c>
      <c r="AA486" s="4">
        <f t="shared" si="430"/>
        <v>1.6463164947634477</v>
      </c>
      <c r="AB486" s="4">
        <f t="shared" si="431"/>
        <v>1.5199622508465758</v>
      </c>
      <c r="AC486" s="47" t="str">
        <f t="shared" si="432"/>
        <v>-0,993081883921438-0,11734756013038i</v>
      </c>
      <c r="AD486" s="20">
        <f t="shared" si="433"/>
        <v>-7.7834774268448117E-5</v>
      </c>
      <c r="AE486" s="43">
        <f t="shared" si="434"/>
        <v>-173.26089200430118</v>
      </c>
      <c r="AF486" t="str">
        <f t="shared" si="416"/>
        <v>171,265703090588</v>
      </c>
      <c r="AG486" t="str">
        <f t="shared" si="417"/>
        <v>1+23742,6993241734i</v>
      </c>
      <c r="AH486">
        <f t="shared" si="435"/>
        <v>23742.699345232508</v>
      </c>
      <c r="AI486">
        <f t="shared" si="436"/>
        <v>1.5707542085847574</v>
      </c>
      <c r="AJ486" t="str">
        <f t="shared" si="418"/>
        <v>1+60,1464312731122i</v>
      </c>
      <c r="AK486">
        <f t="shared" si="437"/>
        <v>60.154743743874505</v>
      </c>
      <c r="AL486">
        <f t="shared" si="438"/>
        <v>1.5541717681665443</v>
      </c>
      <c r="AM486" t="str">
        <f t="shared" si="419"/>
        <v>1-3,78083657093161i</v>
      </c>
      <c r="AN486">
        <f t="shared" si="439"/>
        <v>3.9108471174534416</v>
      </c>
      <c r="AO486">
        <f t="shared" si="440"/>
        <v>-1.3122255762310877</v>
      </c>
      <c r="AP486" s="41" t="str">
        <f t="shared" si="441"/>
        <v>0,406657247649572-1,64755215163133i</v>
      </c>
      <c r="AQ486">
        <f t="shared" si="442"/>
        <v>4.5936205733921485</v>
      </c>
      <c r="AR486" s="43">
        <f t="shared" si="443"/>
        <v>-76.135091137154546</v>
      </c>
      <c r="AS486" t="str">
        <f t="shared" si="420"/>
        <v>-0,0000166666666666667</v>
      </c>
      <c r="AT486" t="str">
        <f t="shared" si="421"/>
        <v>0,00457714341988384i</v>
      </c>
      <c r="AU486">
        <f t="shared" si="444"/>
        <v>4.57714341988384E-3</v>
      </c>
      <c r="AV486">
        <f t="shared" si="445"/>
        <v>1.5707963267948966</v>
      </c>
      <c r="AW486" t="str">
        <f t="shared" si="422"/>
        <v>1+14,3450424127068i</v>
      </c>
      <c r="AX486">
        <f t="shared" si="446"/>
        <v>14.379855417296691</v>
      </c>
      <c r="AY486">
        <f t="shared" si="447"/>
        <v>1.5011984248172425</v>
      </c>
      <c r="AZ486" t="str">
        <f t="shared" si="423"/>
        <v>1+992,416116006351i</v>
      </c>
      <c r="BA486">
        <f t="shared" si="448"/>
        <v>992.41661982714254</v>
      </c>
      <c r="BB486">
        <f t="shared" si="449"/>
        <v>1.5697886852971175</v>
      </c>
      <c r="BC486" s="41" t="str">
        <f t="shared" si="450"/>
        <v>-0,0172232697999159+0,250709817048772i</v>
      </c>
      <c r="BD486">
        <f t="shared" si="451"/>
        <v>-11.996125238062788</v>
      </c>
      <c r="BE486" s="43">
        <f t="shared" si="452"/>
        <v>93.929932441199824</v>
      </c>
      <c r="BF486" s="41" t="str">
        <f t="shared" si="453"/>
        <v>0,046524302551595-0,246954268743906i</v>
      </c>
      <c r="BG486" s="20">
        <f t="shared" si="454"/>
        <v>-11.996203072837062</v>
      </c>
      <c r="BH486" s="43">
        <f t="shared" si="455"/>
        <v>-79.330959563101359</v>
      </c>
      <c r="BI486" s="41" t="str">
        <f t="shared" si="409"/>
        <v>0,406053531021442+0,13032919937676i</v>
      </c>
      <c r="BJ486" s="20">
        <f t="shared" si="456"/>
        <v>-7.4025046646706301</v>
      </c>
      <c r="BK486" s="43">
        <f t="shared" si="410"/>
        <v>17.794841304045303</v>
      </c>
      <c r="BL486">
        <f t="shared" si="457"/>
        <v>-11.996203072837062</v>
      </c>
      <c r="BM486" s="43">
        <f t="shared" si="458"/>
        <v>-79.330959563101359</v>
      </c>
    </row>
    <row r="487" spans="14:65" x14ac:dyDescent="0.25">
      <c r="N487" s="9">
        <v>69</v>
      </c>
      <c r="O487" s="34">
        <f t="shared" si="459"/>
        <v>489778.81936844654</v>
      </c>
      <c r="P487" s="33" t="str">
        <f t="shared" si="411"/>
        <v>54,631621870174</v>
      </c>
      <c r="Q487" s="4" t="str">
        <f t="shared" si="412"/>
        <v>1+24530,4951021069i</v>
      </c>
      <c r="R487" s="4">
        <f t="shared" si="424"/>
        <v>24530.49512248969</v>
      </c>
      <c r="S487" s="4">
        <f t="shared" si="425"/>
        <v>1.5707555612092334</v>
      </c>
      <c r="T487" s="4" t="str">
        <f t="shared" si="413"/>
        <v>1+61,5474216324718i</v>
      </c>
      <c r="U487" s="4">
        <f t="shared" si="426"/>
        <v>61.555544913559643</v>
      </c>
      <c r="V487" s="4">
        <f t="shared" si="427"/>
        <v>1.554550121962808</v>
      </c>
      <c r="W487" t="str">
        <f t="shared" si="414"/>
        <v>1-12,2459022793534i</v>
      </c>
      <c r="X487" s="4">
        <f t="shared" si="428"/>
        <v>12.286664422676841</v>
      </c>
      <c r="Y487" s="4">
        <f t="shared" si="429"/>
        <v>-1.4893171474770677</v>
      </c>
      <c r="Z487" t="str">
        <f t="shared" si="415"/>
        <v>0,0404668323921999+1,68248792780355i</v>
      </c>
      <c r="AA487" s="4">
        <f t="shared" si="430"/>
        <v>1.6829745071534929</v>
      </c>
      <c r="AB487" s="4">
        <f t="shared" si="431"/>
        <v>1.5467491813528083</v>
      </c>
      <c r="AC487" s="47" t="str">
        <f t="shared" si="432"/>
        <v>-0,996842767091591-0,0892764273946058i</v>
      </c>
      <c r="AD487" s="20">
        <f t="shared" si="433"/>
        <v>7.2283839537945474E-3</v>
      </c>
      <c r="AE487" s="43">
        <f t="shared" si="434"/>
        <v>-174.88229023770569</v>
      </c>
      <c r="AF487" t="str">
        <f t="shared" si="416"/>
        <v>171,265703090588</v>
      </c>
      <c r="AG487" t="str">
        <f t="shared" si="417"/>
        <v>1+24295,7378362557i</v>
      </c>
      <c r="AH487">
        <f t="shared" si="435"/>
        <v>24295.73785683544</v>
      </c>
      <c r="AI487">
        <f t="shared" si="436"/>
        <v>1.5707551673122675</v>
      </c>
      <c r="AJ487" t="str">
        <f t="shared" si="418"/>
        <v>1+61,5474216324718i</v>
      </c>
      <c r="AK487">
        <f t="shared" si="437"/>
        <v>61.555544913559643</v>
      </c>
      <c r="AL487">
        <f t="shared" si="438"/>
        <v>1.554550121962808</v>
      </c>
      <c r="AM487" t="str">
        <f t="shared" si="419"/>
        <v>1-3,86890356799312i</v>
      </c>
      <c r="AN487">
        <f t="shared" si="439"/>
        <v>3.9960499018943567</v>
      </c>
      <c r="AO487">
        <f t="shared" si="440"/>
        <v>-1.317860833457678</v>
      </c>
      <c r="AP487" s="41" t="str">
        <f t="shared" si="441"/>
        <v>0,40665723400808-1,68559714108481i</v>
      </c>
      <c r="AQ487">
        <f t="shared" si="442"/>
        <v>4.7807678385674111</v>
      </c>
      <c r="AR487" s="43">
        <f t="shared" si="443"/>
        <v>-76.436344448060169</v>
      </c>
      <c r="AS487" t="str">
        <f t="shared" si="420"/>
        <v>-0,0000166666666666667</v>
      </c>
      <c r="AT487" t="str">
        <f t="shared" si="421"/>
        <v>0,0046837587862311i</v>
      </c>
      <c r="AU487">
        <f t="shared" si="444"/>
        <v>4.6837587862310999E-3</v>
      </c>
      <c r="AV487">
        <f t="shared" si="445"/>
        <v>1.5707963267948966</v>
      </c>
      <c r="AW487" t="str">
        <f t="shared" si="422"/>
        <v>1+14,6791813748931i</v>
      </c>
      <c r="AX487">
        <f t="shared" si="446"/>
        <v>14.713203792410695</v>
      </c>
      <c r="AY487">
        <f t="shared" si="447"/>
        <v>1.5027777280707522</v>
      </c>
      <c r="AZ487" t="str">
        <f t="shared" si="423"/>
        <v>1+1015,53245693578i</v>
      </c>
      <c r="BA487">
        <f t="shared" si="448"/>
        <v>1015.5329492882159</v>
      </c>
      <c r="BB487">
        <f t="shared" si="449"/>
        <v>1.5698116220028875</v>
      </c>
      <c r="BC487" s="41" t="str">
        <f t="shared" si="450"/>
        <v>-0,0164516758080101+0,245055528708916i</v>
      </c>
      <c r="BD487">
        <f t="shared" si="451"/>
        <v>-12.195180056111818</v>
      </c>
      <c r="BE487" s="43">
        <f t="shared" si="452"/>
        <v>93.840759206638978</v>
      </c>
      <c r="BF487" s="41" t="str">
        <f t="shared" si="453"/>
        <v>0,0382774161521788-0,242813084488495i</v>
      </c>
      <c r="BG487" s="20">
        <f t="shared" si="454"/>
        <v>-12.187951672158032</v>
      </c>
      <c r="BH487" s="43">
        <f t="shared" si="455"/>
        <v>-81.041531031066725</v>
      </c>
      <c r="BI487" s="41" t="str">
        <f t="shared" si="409"/>
        <v>0,406374705619892+0,127384501191191i</v>
      </c>
      <c r="BJ487" s="20">
        <f t="shared" si="456"/>
        <v>-7.4144122175444185</v>
      </c>
      <c r="BK487" s="43">
        <f t="shared" si="410"/>
        <v>17.404414758578781</v>
      </c>
      <c r="BL487">
        <f t="shared" si="457"/>
        <v>-12.187951672158032</v>
      </c>
      <c r="BM487" s="43">
        <f t="shared" si="458"/>
        <v>-81.041531031066725</v>
      </c>
    </row>
    <row r="488" spans="14:65" x14ac:dyDescent="0.25">
      <c r="N488" s="9">
        <v>70</v>
      </c>
      <c r="O488" s="34">
        <f t="shared" si="459"/>
        <v>501187.23362727347</v>
      </c>
      <c r="P488" s="33" t="str">
        <f t="shared" si="411"/>
        <v>54,631621870174</v>
      </c>
      <c r="Q488" s="4" t="str">
        <f t="shared" si="412"/>
        <v>1+25101,8837351634i</v>
      </c>
      <c r="R488" s="4">
        <f t="shared" si="424"/>
        <v>25101.883755082221</v>
      </c>
      <c r="S488" s="4">
        <f t="shared" si="425"/>
        <v>1.5707564891472514</v>
      </c>
      <c r="T488" s="4" t="str">
        <f t="shared" si="413"/>
        <v>1+62,9810452494574i</v>
      </c>
      <c r="U488" s="4">
        <f t="shared" si="426"/>
        <v>62.988983645667766</v>
      </c>
      <c r="V488" s="4">
        <f t="shared" si="427"/>
        <v>1.5549198678701799</v>
      </c>
      <c r="W488" t="str">
        <f t="shared" si="414"/>
        <v>1-12,5311459866172i</v>
      </c>
      <c r="X488" s="4">
        <f t="shared" si="428"/>
        <v>12.570983244675508</v>
      </c>
      <c r="Y488" s="4">
        <f t="shared" si="429"/>
        <v>-1.4911639185985803</v>
      </c>
      <c r="Z488" t="str">
        <f t="shared" si="415"/>
        <v>-0,00475457260384005+1,72167810611834i</v>
      </c>
      <c r="AA488" s="4">
        <f t="shared" si="430"/>
        <v>1.7216846712008211</v>
      </c>
      <c r="AB488" s="4">
        <f t="shared" si="431"/>
        <v>1.5735579118439578</v>
      </c>
      <c r="AC488" s="47" t="str">
        <f t="shared" si="432"/>
        <v>-0,999099177397778-0,0610550532777924i</v>
      </c>
      <c r="AD488" s="20">
        <f t="shared" si="433"/>
        <v>8.3603066414337391E-3</v>
      </c>
      <c r="AE488" s="43">
        <f t="shared" si="434"/>
        <v>-176.50299782688901</v>
      </c>
      <c r="AF488" t="str">
        <f t="shared" si="416"/>
        <v>171,265703090588</v>
      </c>
      <c r="AG488" t="str">
        <f t="shared" si="417"/>
        <v>1+24861,6582701308i</v>
      </c>
      <c r="AH488">
        <f t="shared" si="435"/>
        <v>24861.658290242085</v>
      </c>
      <c r="AI488">
        <f t="shared" si="436"/>
        <v>1.570756104216475</v>
      </c>
      <c r="AJ488" t="str">
        <f t="shared" si="418"/>
        <v>1+62,9810452494574i</v>
      </c>
      <c r="AK488">
        <f t="shared" si="437"/>
        <v>62.988983645667766</v>
      </c>
      <c r="AL488">
        <f t="shared" si="438"/>
        <v>1.5549198678701799</v>
      </c>
      <c r="AM488" t="str">
        <f t="shared" si="419"/>
        <v>1-3,95902190893737i</v>
      </c>
      <c r="AN488">
        <f t="shared" si="439"/>
        <v>4.0833631329390849</v>
      </c>
      <c r="AO488">
        <f t="shared" si="440"/>
        <v>-1.3233837246775564</v>
      </c>
      <c r="AP488" s="41" t="str">
        <f t="shared" si="441"/>
        <v>0,40665722098056-1,72453585645397i</v>
      </c>
      <c r="AQ488">
        <f t="shared" si="442"/>
        <v>4.9684582606944439</v>
      </c>
      <c r="AR488" s="43">
        <f t="shared" si="443"/>
        <v>-76.731651606341316</v>
      </c>
      <c r="AS488" t="str">
        <f t="shared" si="420"/>
        <v>-0,0000166666666666667</v>
      </c>
      <c r="AT488" t="str">
        <f t="shared" si="421"/>
        <v>0,0047928575434837i</v>
      </c>
      <c r="AU488">
        <f t="shared" si="444"/>
        <v>4.7928575434837001E-3</v>
      </c>
      <c r="AV488">
        <f t="shared" si="445"/>
        <v>1.5707963267948966</v>
      </c>
      <c r="AW488" t="str">
        <f t="shared" si="422"/>
        <v>1+15,0211034333463i</v>
      </c>
      <c r="AX488">
        <f t="shared" si="446"/>
        <v>15.054353136395067</v>
      </c>
      <c r="AY488">
        <f t="shared" si="447"/>
        <v>1.5043214104335692</v>
      </c>
      <c r="AZ488" t="str">
        <f t="shared" si="423"/>
        <v>1+1039,18724661605i</v>
      </c>
      <c r="BA488">
        <f t="shared" si="448"/>
        <v>1039.1877277611813</v>
      </c>
      <c r="BB488">
        <f t="shared" si="449"/>
        <v>1.5698340366064933</v>
      </c>
      <c r="BC488" s="41" t="str">
        <f t="shared" si="450"/>
        <v>-0,015714495581277+0,239526460158575i</v>
      </c>
      <c r="BD488">
        <f t="shared" si="451"/>
        <v>-12.394277222208213</v>
      </c>
      <c r="BE488" s="43">
        <f t="shared" si="452"/>
        <v>93.753596984526851</v>
      </c>
      <c r="BF488" s="41" t="str">
        <f t="shared" si="453"/>
        <v>0,0303246403948977-0,238351239944485i</v>
      </c>
      <c r="BG488" s="20">
        <f t="shared" si="454"/>
        <v>-12.385916915566792</v>
      </c>
      <c r="BH488" s="43">
        <f t="shared" si="455"/>
        <v>-82.749400842362164</v>
      </c>
      <c r="BI488" s="41" t="str">
        <f t="shared" si="409"/>
        <v>0,406681556010762+0,124505375735397i</v>
      </c>
      <c r="BJ488" s="20">
        <f t="shared" si="456"/>
        <v>-7.4258189615137766</v>
      </c>
      <c r="BK488" s="43">
        <f t="shared" si="410"/>
        <v>17.021945378185606</v>
      </c>
      <c r="BL488">
        <f t="shared" si="457"/>
        <v>-12.385916915566792</v>
      </c>
      <c r="BM488" s="43">
        <f t="shared" si="458"/>
        <v>-82.749400842362164</v>
      </c>
    </row>
    <row r="489" spans="14:65" x14ac:dyDescent="0.25">
      <c r="N489" s="9">
        <v>71</v>
      </c>
      <c r="O489" s="34">
        <f t="shared" si="459"/>
        <v>512861.38399136515</v>
      </c>
      <c r="P489" s="33" t="str">
        <f t="shared" si="411"/>
        <v>54,631621870174</v>
      </c>
      <c r="Q489" s="4" t="str">
        <f t="shared" si="412"/>
        <v>1+25686,5817192388i</v>
      </c>
      <c r="R489" s="4">
        <f t="shared" si="424"/>
        <v>25686.581738704212</v>
      </c>
      <c r="S489" s="4">
        <f t="shared" si="425"/>
        <v>1.5707573959628216</v>
      </c>
      <c r="T489" s="4" t="str">
        <f t="shared" si="413"/>
        <v>1+64,4480622502866i</v>
      </c>
      <c r="U489" s="4">
        <f t="shared" si="426"/>
        <v>64.455819968539814</v>
      </c>
      <c r="V489" s="4">
        <f t="shared" si="427"/>
        <v>1.5552812015282123</v>
      </c>
      <c r="W489" t="str">
        <f t="shared" si="414"/>
        <v>1-12,8230338733525i</v>
      </c>
      <c r="X489" s="4">
        <f t="shared" si="428"/>
        <v>12.861967101386382</v>
      </c>
      <c r="Y489" s="4">
        <f t="shared" si="429"/>
        <v>-1.4929691782112813</v>
      </c>
      <c r="Z489" t="str">
        <f t="shared" si="415"/>
        <v>-0,0521071967581499+1,7617811409541i</v>
      </c>
      <c r="AA489" s="4">
        <f t="shared" si="430"/>
        <v>1.7625515449414586</v>
      </c>
      <c r="AB489" s="4">
        <f t="shared" si="431"/>
        <v>1.6003641372694506</v>
      </c>
      <c r="AC489" s="47" t="str">
        <f t="shared" si="432"/>
        <v>-0,999843592372946-0,0327897637460208i</v>
      </c>
      <c r="AD489" s="20">
        <f t="shared" si="433"/>
        <v>3.3097033231395531E-3</v>
      </c>
      <c r="AE489" s="43">
        <f t="shared" si="434"/>
        <v>-178.1216642282829</v>
      </c>
      <c r="AF489" t="str">
        <f t="shared" si="416"/>
        <v>171,265703090588</v>
      </c>
      <c r="AG489" t="str">
        <f t="shared" si="417"/>
        <v>1+25440,7606843036i</v>
      </c>
      <c r="AH489">
        <f t="shared" si="435"/>
        <v>25440.760703957098</v>
      </c>
      <c r="AI489">
        <f t="shared" si="436"/>
        <v>1.5707570197941394</v>
      </c>
      <c r="AJ489" t="str">
        <f t="shared" si="418"/>
        <v>1+64,4480622502866i</v>
      </c>
      <c r="AK489">
        <f t="shared" si="437"/>
        <v>64.455819968539814</v>
      </c>
      <c r="AL489">
        <f t="shared" si="438"/>
        <v>1.5552812015282123</v>
      </c>
      <c r="AM489" t="str">
        <f t="shared" si="419"/>
        <v>1-4,05123937570157i</v>
      </c>
      <c r="AN489">
        <f t="shared" si="439"/>
        <v>4.1728336270734365</v>
      </c>
      <c r="AO489">
        <f t="shared" si="440"/>
        <v>-1.3287958299439064</v>
      </c>
      <c r="AP489" s="41" t="str">
        <f t="shared" si="441"/>
        <v>0,40665720853937-1,76438894356108i</v>
      </c>
      <c r="AQ489">
        <f t="shared" si="442"/>
        <v>5.1566703182889757</v>
      </c>
      <c r="AR489" s="43">
        <f t="shared" si="443"/>
        <v>-77.021091961518422</v>
      </c>
      <c r="AS489" t="str">
        <f t="shared" si="420"/>
        <v>-0,0000166666666666667</v>
      </c>
      <c r="AT489" t="str">
        <f t="shared" si="421"/>
        <v>0,00490449753724682i</v>
      </c>
      <c r="AU489">
        <f t="shared" si="444"/>
        <v>4.9044975372468198E-3</v>
      </c>
      <c r="AV489">
        <f t="shared" si="445"/>
        <v>1.5707963267948966</v>
      </c>
      <c r="AW489" t="str">
        <f t="shared" si="422"/>
        <v>1+15,3709898796676i</v>
      </c>
      <c r="AX489">
        <f t="shared" si="446"/>
        <v>15.403484342214387</v>
      </c>
      <c r="AY489">
        <f t="shared" si="447"/>
        <v>1.5058302609417522</v>
      </c>
      <c r="AZ489" t="str">
        <f t="shared" si="423"/>
        <v>1+1063,39302712973i</v>
      </c>
      <c r="BA489">
        <f t="shared" si="448"/>
        <v>1063.3934973226658</v>
      </c>
      <c r="BB489">
        <f t="shared" si="449"/>
        <v>1.5698559409923643</v>
      </c>
      <c r="BC489" s="41" t="str">
        <f t="shared" si="450"/>
        <v>-0,0150102076673887+0,234119991565367i</v>
      </c>
      <c r="BD489">
        <f t="shared" si="451"/>
        <v>-12.593414847210004</v>
      </c>
      <c r="BE489" s="43">
        <f t="shared" si="452"/>
        <v>93.668401247355035</v>
      </c>
      <c r="BF489" s="41" t="str">
        <f t="shared" si="453"/>
        <v>0,0226845991680746-0,233591192249848i</v>
      </c>
      <c r="BG489" s="20">
        <f t="shared" si="454"/>
        <v>-12.590105143886865</v>
      </c>
      <c r="BH489" s="43">
        <f t="shared" si="455"/>
        <v>-84.45326298092786</v>
      </c>
      <c r="BI489" s="41" t="str">
        <f t="shared" si="409"/>
        <v>0,40697471543493+0,121690426682129i</v>
      </c>
      <c r="BJ489" s="20">
        <f t="shared" si="456"/>
        <v>-7.4367445289210368</v>
      </c>
      <c r="BK489" s="43">
        <f t="shared" si="410"/>
        <v>16.647309285836581</v>
      </c>
      <c r="BL489">
        <f t="shared" si="457"/>
        <v>-12.590105143886865</v>
      </c>
      <c r="BM489" s="43">
        <f t="shared" si="458"/>
        <v>-84.45326298092786</v>
      </c>
    </row>
    <row r="490" spans="14:65" x14ac:dyDescent="0.25">
      <c r="N490" s="9">
        <v>72</v>
      </c>
      <c r="O490" s="34">
        <f t="shared" si="459"/>
        <v>524807.46024977288</v>
      </c>
      <c r="P490" s="33" t="str">
        <f t="shared" si="411"/>
        <v>54,631621870174</v>
      </c>
      <c r="Q490" s="4" t="str">
        <f t="shared" si="412"/>
        <v>1+26284,8990689441i</v>
      </c>
      <c r="R490" s="4">
        <f t="shared" si="424"/>
        <v>26284.899087966431</v>
      </c>
      <c r="S490" s="4">
        <f t="shared" si="425"/>
        <v>1.5707582821367492</v>
      </c>
      <c r="T490" s="4" t="str">
        <f t="shared" si="413"/>
        <v>1+65,9492504667922i</v>
      </c>
      <c r="U490" s="4">
        <f t="shared" si="426"/>
        <v>65.956831618352396</v>
      </c>
      <c r="V490" s="4">
        <f t="shared" si="427"/>
        <v>1.5556343141431654</v>
      </c>
      <c r="W490" t="str">
        <f t="shared" si="414"/>
        <v>1-13,1217207023803i</v>
      </c>
      <c r="X490" s="4">
        <f t="shared" si="428"/>
        <v>13.159770294016372</v>
      </c>
      <c r="Y490" s="4">
        <f t="shared" si="429"/>
        <v>-1.4947338363952556</v>
      </c>
      <c r="Z490" t="str">
        <f t="shared" si="415"/>
        <v>-0,10169148133527+1,80281829547072i</v>
      </c>
      <c r="AA490" s="4">
        <f t="shared" si="430"/>
        <v>1.8056840708884025</v>
      </c>
      <c r="AB490" s="4">
        <f t="shared" si="431"/>
        <v>1.6271435665203011</v>
      </c>
      <c r="AC490" s="47" t="str">
        <f t="shared" si="432"/>
        <v>-0,999078307080908-0,00458708315967726i</v>
      </c>
      <c r="AD490" s="20">
        <f t="shared" si="433"/>
        <v>-7.9178655903398634E-3</v>
      </c>
      <c r="AE490" s="43">
        <f t="shared" si="434"/>
        <v>-179.73693887984709</v>
      </c>
      <c r="AF490" t="str">
        <f t="shared" si="416"/>
        <v>171,265703090588</v>
      </c>
      <c r="AG490" t="str">
        <f t="shared" si="417"/>
        <v>1+26033,3521265397i</v>
      </c>
      <c r="AH490">
        <f t="shared" si="435"/>
        <v>26033.35214574583</v>
      </c>
      <c r="AI490">
        <f t="shared" si="436"/>
        <v>1.5707579145307116</v>
      </c>
      <c r="AJ490" t="str">
        <f t="shared" si="418"/>
        <v>1+65,9492504667922i</v>
      </c>
      <c r="AK490">
        <f t="shared" si="437"/>
        <v>65.956831618352396</v>
      </c>
      <c r="AL490">
        <f t="shared" si="438"/>
        <v>1.5556343141431654</v>
      </c>
      <c r="AM490" t="str">
        <f t="shared" si="419"/>
        <v>1-4,14560486320728i</v>
      </c>
      <c r="AN490">
        <f t="shared" si="439"/>
        <v>4.2645093131388343</v>
      </c>
      <c r="AO490">
        <f t="shared" si="440"/>
        <v>-1.3340987500811181</v>
      </c>
      <c r="AP490" s="41" t="str">
        <f t="shared" si="441"/>
        <v>0,406657196658128-1,80517753304048i</v>
      </c>
      <c r="AQ490">
        <f t="shared" si="442"/>
        <v>5.3453832233745651</v>
      </c>
      <c r="AR490" s="43">
        <f t="shared" si="443"/>
        <v>-77.304746306575254</v>
      </c>
      <c r="AS490" t="str">
        <f t="shared" si="420"/>
        <v>-0,0000166666666666667</v>
      </c>
      <c r="AT490" t="str">
        <f t="shared" si="421"/>
        <v>0,00501873796052288i</v>
      </c>
      <c r="AU490">
        <f t="shared" si="444"/>
        <v>5.0187379605228797E-3</v>
      </c>
      <c r="AV490">
        <f t="shared" si="445"/>
        <v>1.5707963267948966</v>
      </c>
      <c r="AW490" t="str">
        <f t="shared" si="422"/>
        <v>1+15,7290262282822i</v>
      </c>
      <c r="AX490">
        <f t="shared" si="446"/>
        <v>15.760782534188758</v>
      </c>
      <c r="AY490">
        <f t="shared" si="447"/>
        <v>1.5073050521115849</v>
      </c>
      <c r="AZ490" t="str">
        <f t="shared" si="423"/>
        <v>1+1088,16263270207i</v>
      </c>
      <c r="BA490">
        <f t="shared" si="448"/>
        <v>1088.1630921921123</v>
      </c>
      <c r="BB490">
        <f t="shared" si="449"/>
        <v>1.5698773467744114</v>
      </c>
      <c r="BC490" s="41" t="str">
        <f t="shared" si="450"/>
        <v>-0,0143373567007157+0,22883354758948i</v>
      </c>
      <c r="BD490">
        <f t="shared" si="451"/>
        <v>-12.792591125528505</v>
      </c>
      <c r="BE490" s="43">
        <f t="shared" si="452"/>
        <v>93.585128398628925</v>
      </c>
      <c r="BF490" s="41" t="str">
        <f t="shared" si="453"/>
        <v>0,0153738205730831-0,22855686668154i</v>
      </c>
      <c r="BG490" s="20">
        <f t="shared" si="454"/>
        <v>-12.800508991118839</v>
      </c>
      <c r="BH490" s="43">
        <f t="shared" si="455"/>
        <v>-86.151810481218163</v>
      </c>
      <c r="BI490" s="41" t="str">
        <f t="shared" si="409"/>
        <v>0,407254789631078+0,118938283163392i</v>
      </c>
      <c r="BJ490" s="20">
        <f t="shared" si="456"/>
        <v>-7.4472079021539415</v>
      </c>
      <c r="BK490" s="43">
        <f t="shared" si="410"/>
        <v>16.280382092053721</v>
      </c>
      <c r="BL490">
        <f t="shared" si="457"/>
        <v>-12.800508991118839</v>
      </c>
      <c r="BM490" s="43">
        <f t="shared" si="458"/>
        <v>-86.151810481218163</v>
      </c>
    </row>
    <row r="491" spans="14:65" x14ac:dyDescent="0.25">
      <c r="N491" s="9">
        <v>73</v>
      </c>
      <c r="O491" s="34">
        <f t="shared" si="459"/>
        <v>537031.7963702539</v>
      </c>
      <c r="P491" s="33" t="str">
        <f t="shared" si="411"/>
        <v>54,631621870174</v>
      </c>
      <c r="Q491" s="4" t="str">
        <f t="shared" si="412"/>
        <v>1+26897,1530200574i</v>
      </c>
      <c r="R491" s="4">
        <f t="shared" si="424"/>
        <v>26897.153038646731</v>
      </c>
      <c r="S491" s="4">
        <f t="shared" si="425"/>
        <v>1.5707591481388956</v>
      </c>
      <c r="T491" s="4" t="str">
        <f t="shared" si="413"/>
        <v>1+67,4854058488368i</v>
      </c>
      <c r="U491" s="4">
        <f t="shared" si="426"/>
        <v>67.492814451482289</v>
      </c>
      <c r="V491" s="4">
        <f t="shared" si="427"/>
        <v>1.5559793925875871</v>
      </c>
      <c r="W491" t="str">
        <f t="shared" si="414"/>
        <v>1-13,4273648414111i</v>
      </c>
      <c r="X491" s="4">
        <f t="shared" si="428"/>
        <v>13.464550738304004</v>
      </c>
      <c r="Y491" s="4">
        <f t="shared" si="429"/>
        <v>-1.4964587848096351</v>
      </c>
      <c r="Z491" t="str">
        <f t="shared" si="415"/>
        <v>-0,15361260125065+1,84481132811072i</v>
      </c>
      <c r="AA491" s="4">
        <f t="shared" si="430"/>
        <v>1.8511957399444905</v>
      </c>
      <c r="AB491" s="4">
        <f t="shared" si="431"/>
        <v>1.6538720573477723</v>
      </c>
      <c r="AC491" s="47" t="str">
        <f t="shared" si="432"/>
        <v>-0,996815378583728+0,023447371394252i</v>
      </c>
      <c r="AD491" s="20">
        <f t="shared" si="433"/>
        <v>-2.5303132373894102E-2</v>
      </c>
      <c r="AE491" s="43">
        <f t="shared" si="434"/>
        <v>178.65252105916122</v>
      </c>
      <c r="AF491" t="str">
        <f t="shared" si="416"/>
        <v>171,265703090588</v>
      </c>
      <c r="AG491" t="str">
        <f t="shared" si="417"/>
        <v>1+26639,7467966654i</v>
      </c>
      <c r="AH491">
        <f t="shared" si="435"/>
        <v>26639.746815434344</v>
      </c>
      <c r="AI491">
        <f t="shared" si="436"/>
        <v>1.570758788900593</v>
      </c>
      <c r="AJ491" t="str">
        <f t="shared" si="418"/>
        <v>1+67,4854058488368i</v>
      </c>
      <c r="AK491">
        <f t="shared" si="437"/>
        <v>67.492814451482289</v>
      </c>
      <c r="AL491">
        <f t="shared" si="438"/>
        <v>1.5559793925875871</v>
      </c>
      <c r="AM491" t="str">
        <f t="shared" si="419"/>
        <v>1-4,24216840528503i</v>
      </c>
      <c r="AN491">
        <f t="shared" si="439"/>
        <v>4.358439259505464</v>
      </c>
      <c r="AO491">
        <f t="shared" si="440"/>
        <v>-1.3392941032644126</v>
      </c>
      <c r="AP491" s="41" t="str">
        <f t="shared" si="441"/>
        <v>0,406657185311629-1,84692325154221i</v>
      </c>
      <c r="AQ491">
        <f t="shared" si="442"/>
        <v>5.5345769065008401</v>
      </c>
      <c r="AR491" s="43">
        <f t="shared" si="443"/>
        <v>-77.582696676295541</v>
      </c>
      <c r="AS491" t="str">
        <f t="shared" si="420"/>
        <v>-0,0000166666666666667</v>
      </c>
      <c r="AT491" t="str">
        <f t="shared" si="421"/>
        <v>0,00513563938509648i</v>
      </c>
      <c r="AU491">
        <f t="shared" si="444"/>
        <v>5.1356393850964799E-3</v>
      </c>
      <c r="AV491">
        <f t="shared" si="445"/>
        <v>1.5707963267948966</v>
      </c>
      <c r="AW491" t="str">
        <f t="shared" si="422"/>
        <v>1+16,0954023148014i</v>
      </c>
      <c r="AX491">
        <f t="shared" si="446"/>
        <v>16.126437166197444</v>
      </c>
      <c r="AY491">
        <f t="shared" si="447"/>
        <v>1.5087465402209317</v>
      </c>
      <c r="AZ491" t="str">
        <f t="shared" si="423"/>
        <v>1+1113,50919650581i</v>
      </c>
      <c r="BA491">
        <f t="shared" si="448"/>
        <v>1113.5096455365867</v>
      </c>
      <c r="BB491">
        <f t="shared" si="449"/>
        <v>1.5698982653021853</v>
      </c>
      <c r="BC491" s="41" t="str">
        <f t="shared" si="450"/>
        <v>-0,0136945506352867+0,223664597355277i</v>
      </c>
      <c r="BD491">
        <f t="shared" si="451"/>
        <v>-12.991804331496567</v>
      </c>
      <c r="BE491" s="43">
        <f t="shared" si="452"/>
        <v>93.503735757100117</v>
      </c>
      <c r="BF491" s="41" t="str">
        <f t="shared" si="453"/>
        <v>0,00840659179411233-0,2232734115033i</v>
      </c>
      <c r="BG491" s="20">
        <f t="shared" si="454"/>
        <v>-13.017107463870483</v>
      </c>
      <c r="BH491" s="43">
        <f t="shared" si="455"/>
        <v>-87.843743183738653</v>
      </c>
      <c r="BI491" s="41" t="str">
        <f t="shared" si="409"/>
        <v>0,407522357986834+0,116247599602089i</v>
      </c>
      <c r="BJ491" s="20">
        <f t="shared" si="456"/>
        <v>-7.4572274249957315</v>
      </c>
      <c r="BK491" s="43">
        <f t="shared" si="410"/>
        <v>15.921039080804608</v>
      </c>
      <c r="BL491">
        <f t="shared" si="457"/>
        <v>-13.017107463870483</v>
      </c>
      <c r="BM491" s="43">
        <f t="shared" si="458"/>
        <v>-87.843743183738653</v>
      </c>
    </row>
    <row r="492" spans="14:65" x14ac:dyDescent="0.25">
      <c r="N492" s="9">
        <v>74</v>
      </c>
      <c r="O492" s="34">
        <f t="shared" si="459"/>
        <v>549540.87385762564</v>
      </c>
      <c r="P492" s="33" t="str">
        <f t="shared" si="411"/>
        <v>54,631621870174</v>
      </c>
      <c r="Q492" s="4" t="str">
        <f t="shared" si="412"/>
        <v>1+27523,6681977278i</v>
      </c>
      <c r="R492" s="4">
        <f t="shared" si="424"/>
        <v>27523.668215893984</v>
      </c>
      <c r="S492" s="4">
        <f t="shared" si="425"/>
        <v>1.5707599944284265</v>
      </c>
      <c r="T492" s="4" t="str">
        <f t="shared" si="413"/>
        <v>1+69,0573428863372i</v>
      </c>
      <c r="U492" s="4">
        <f t="shared" si="426"/>
        <v>69.064582866481913</v>
      </c>
      <c r="V492" s="4">
        <f t="shared" si="427"/>
        <v>1.556316619497714</v>
      </c>
      <c r="W492" t="str">
        <f t="shared" si="414"/>
        <v>1-13,7401283470129i</v>
      </c>
      <c r="X492" s="4">
        <f t="shared" si="428"/>
        <v>13.776470048324697</v>
      </c>
      <c r="Y492" s="4">
        <f t="shared" si="429"/>
        <v>-1.4981448969619813</v>
      </c>
      <c r="Z492" t="str">
        <f t="shared" si="415"/>
        <v>-0,20798068816081+1,88778250413585i</v>
      </c>
      <c r="AA492" s="4">
        <f t="shared" si="430"/>
        <v>1.8992047676775836</v>
      </c>
      <c r="AB492" s="4">
        <f t="shared" si="431"/>
        <v>1.6805257491223204</v>
      </c>
      <c r="AC492" s="47" t="str">
        <f t="shared" si="432"/>
        <v>-0,993076423359943+0,0512099747711419i</v>
      </c>
      <c r="AD492" s="20">
        <f t="shared" si="433"/>
        <v>-4.881333226954622E-2</v>
      </c>
      <c r="AE492" s="43">
        <f t="shared" si="434"/>
        <v>177.04804309179207</v>
      </c>
      <c r="AF492" t="str">
        <f t="shared" si="416"/>
        <v>171,265703090588</v>
      </c>
      <c r="AG492" t="str">
        <f t="shared" si="417"/>
        <v>1+27260,2662131613i</v>
      </c>
      <c r="AH492">
        <f t="shared" si="435"/>
        <v>27260.266231503014</v>
      </c>
      <c r="AI492">
        <f t="shared" si="436"/>
        <v>1.570759643367386</v>
      </c>
      <c r="AJ492" t="str">
        <f t="shared" si="418"/>
        <v>1+69,0573428863372i</v>
      </c>
      <c r="AK492">
        <f t="shared" si="437"/>
        <v>69.064582866481913</v>
      </c>
      <c r="AL492">
        <f t="shared" si="438"/>
        <v>1.556316619497714</v>
      </c>
      <c r="AM492" t="str">
        <f t="shared" si="419"/>
        <v>1-4,34098120120299i</v>
      </c>
      <c r="AN492">
        <f t="shared" si="439"/>
        <v>4.4546737017651195</v>
      </c>
      <c r="AO492">
        <f t="shared" si="440"/>
        <v>-1.3443835217947369</v>
      </c>
      <c r="AP492" s="41" t="str">
        <f t="shared" si="441"/>
        <v>0,406657174475808-1,88964823319879i</v>
      </c>
      <c r="AQ492">
        <f t="shared" si="442"/>
        <v>5.7242320011597503</v>
      </c>
      <c r="AR492" s="43">
        <f t="shared" si="443"/>
        <v>-77.855026156911251</v>
      </c>
      <c r="AS492" t="str">
        <f t="shared" si="420"/>
        <v>-0,0000166666666666667</v>
      </c>
      <c r="AT492" t="str">
        <f t="shared" si="421"/>
        <v>0,00525526379365027i</v>
      </c>
      <c r="AU492">
        <f t="shared" si="444"/>
        <v>5.2552637936502701E-3</v>
      </c>
      <c r="AV492">
        <f t="shared" si="445"/>
        <v>1.5707963267948966</v>
      </c>
      <c r="AW492" t="str">
        <f t="shared" si="422"/>
        <v>1+16,4703123966757i</v>
      </c>
      <c r="AX492">
        <f t="shared" si="446"/>
        <v>16.500642122174799</v>
      </c>
      <c r="AY492">
        <f t="shared" si="447"/>
        <v>1.5101554655903442</v>
      </c>
      <c r="AZ492" t="str">
        <f t="shared" si="423"/>
        <v>1+1139,44615762456i</v>
      </c>
      <c r="BA492">
        <f t="shared" si="448"/>
        <v>1139.4465964341523</v>
      </c>
      <c r="BB492">
        <f t="shared" si="449"/>
        <v>1.569918707666893</v>
      </c>
      <c r="BC492" s="41" t="str">
        <f t="shared" si="450"/>
        <v>-0,0130804580844171+0,21861065436068i</v>
      </c>
      <c r="BD492">
        <f t="shared" si="451"/>
        <v>-13.19105281588854</v>
      </c>
      <c r="BE492" s="43">
        <f t="shared" si="452"/>
        <v>93.424181541004884</v>
      </c>
      <c r="BF492" s="41" t="str">
        <f t="shared" si="453"/>
        <v>0,00179484843586934-0,217766936669379i</v>
      </c>
      <c r="BG492" s="20">
        <f t="shared" si="454"/>
        <v>-13.239866148158079</v>
      </c>
      <c r="BH492" s="43">
        <f t="shared" si="455"/>
        <v>-89.527775367203077</v>
      </c>
      <c r="BI492" s="41" t="str">
        <f t="shared" si="409"/>
        <v>0,407777974645632+0,113617055521271i</v>
      </c>
      <c r="BJ492" s="20">
        <f t="shared" si="456"/>
        <v>-7.4668208147287931</v>
      </c>
      <c r="BK492" s="43">
        <f t="shared" si="410"/>
        <v>15.569155384093609</v>
      </c>
      <c r="BL492">
        <f t="shared" si="457"/>
        <v>-13.239866148158079</v>
      </c>
      <c r="BM492" s="43">
        <f t="shared" si="458"/>
        <v>-89.527775367203077</v>
      </c>
    </row>
    <row r="493" spans="14:65" x14ac:dyDescent="0.25">
      <c r="N493" s="9">
        <v>75</v>
      </c>
      <c r="O493" s="34">
        <f t="shared" si="459"/>
        <v>562341.32519035018</v>
      </c>
      <c r="P493" s="33" t="str">
        <f t="shared" si="411"/>
        <v>54,631621870174</v>
      </c>
      <c r="Q493" s="4" t="str">
        <f t="shared" si="412"/>
        <v>1+28164,7767885956i</v>
      </c>
      <c r="R493" s="4">
        <f t="shared" si="424"/>
        <v>28164.776806348265</v>
      </c>
      <c r="S493" s="4">
        <f t="shared" si="425"/>
        <v>1.570760821454056</v>
      </c>
      <c r="T493" s="4" t="str">
        <f t="shared" si="413"/>
        <v>1+70,6658950411182i</v>
      </c>
      <c r="U493" s="4">
        <f t="shared" si="426"/>
        <v>70.672970235885344</v>
      </c>
      <c r="V493" s="4">
        <f t="shared" si="427"/>
        <v>1.5566461733687413</v>
      </c>
      <c r="W493" t="str">
        <f t="shared" si="414"/>
        <v>1-14,0601770505365i</v>
      </c>
      <c r="X493" s="4">
        <f t="shared" si="428"/>
        <v>14.095693622253334</v>
      </c>
      <c r="Y493" s="4">
        <f t="shared" si="429"/>
        <v>-1.4997930284812044</v>
      </c>
      <c r="Z493" t="str">
        <f t="shared" si="415"/>
        <v>-0,26491106406736+1,93175460743244i</v>
      </c>
      <c r="AA493" s="4">
        <f t="shared" si="430"/>
        <v>1.9498342840358927</v>
      </c>
      <c r="AB493" s="4">
        <f t="shared" si="431"/>
        <v>1.7070811915348276</v>
      </c>
      <c r="AC493" s="47" t="str">
        <f t="shared" si="432"/>
        <v>-0,987892273508024+0,0786001350779714i</v>
      </c>
      <c r="AD493" s="20">
        <f t="shared" si="433"/>
        <v>-7.840253680760581E-2</v>
      </c>
      <c r="AE493" s="43">
        <f t="shared" si="434"/>
        <v>175.45093199917264</v>
      </c>
      <c r="AF493" t="str">
        <f t="shared" si="416"/>
        <v>171,265703090588</v>
      </c>
      <c r="AG493" t="str">
        <f t="shared" si="417"/>
        <v>1+27895,2393836358i</v>
      </c>
      <c r="AH493">
        <f t="shared" si="435"/>
        <v>27895.239401560004</v>
      </c>
      <c r="AI493">
        <f t="shared" si="436"/>
        <v>1.5707604783841402</v>
      </c>
      <c r="AJ493" t="str">
        <f t="shared" si="418"/>
        <v>1+70,6658950411182i</v>
      </c>
      <c r="AK493">
        <f t="shared" si="437"/>
        <v>70.672970235885344</v>
      </c>
      <c r="AL493">
        <f t="shared" si="438"/>
        <v>1.5566461733687413</v>
      </c>
      <c r="AM493" t="str">
        <f t="shared" si="419"/>
        <v>1-4,44209564281352i</v>
      </c>
      <c r="AN493">
        <f t="shared" si="439"/>
        <v>4.5532640709608376</v>
      </c>
      <c r="AO493">
        <f t="shared" si="440"/>
        <v>-1.3493686490636581</v>
      </c>
      <c r="AP493" s="41" t="str">
        <f t="shared" si="441"/>
        <v>0,406657164127678-1,93337513136103i</v>
      </c>
      <c r="AQ493">
        <f t="shared" si="442"/>
        <v>5.9143298277034928</v>
      </c>
      <c r="AR493" s="43">
        <f t="shared" si="443"/>
        <v>-78.121818706759839</v>
      </c>
      <c r="AS493" t="str">
        <f t="shared" si="420"/>
        <v>-0,0000166666666666667</v>
      </c>
      <c r="AT493" t="str">
        <f t="shared" si="421"/>
        <v>0,00537767461262909i</v>
      </c>
      <c r="AU493">
        <f t="shared" si="444"/>
        <v>5.3776746126290896E-3</v>
      </c>
      <c r="AV493">
        <f t="shared" si="445"/>
        <v>1.5707963267948966</v>
      </c>
      <c r="AW493" t="str">
        <f t="shared" si="422"/>
        <v>1+16,8539552561931i</v>
      </c>
      <c r="AX493">
        <f t="shared" si="446"/>
        <v>16.883595818952756</v>
      </c>
      <c r="AY493">
        <f t="shared" si="447"/>
        <v>1.5115325528635395</v>
      </c>
      <c r="AZ493" t="str">
        <f t="shared" si="423"/>
        <v>1+1165,98726817845i</v>
      </c>
      <c r="BA493">
        <f t="shared" si="448"/>
        <v>1165.98769699952</v>
      </c>
      <c r="BB493">
        <f t="shared" si="449"/>
        <v>1.5699386847072785</v>
      </c>
      <c r="BC493" s="41" t="str">
        <f t="shared" si="450"/>
        <v>-0,0124938057637293+0,213669276329634i</v>
      </c>
      <c r="BD493">
        <f t="shared" si="451"/>
        <v>-13.390335002586482</v>
      </c>
      <c r="BE493" s="43">
        <f t="shared" si="452"/>
        <v>93.346424852330856</v>
      </c>
      <c r="BF493" s="41" t="str">
        <f t="shared" si="453"/>
        <v>-0,00445189980082344-0,212064241992763i</v>
      </c>
      <c r="BG493" s="20">
        <f t="shared" si="454"/>
        <v>-13.468737539394105</v>
      </c>
      <c r="BH493" s="43">
        <f t="shared" si="455"/>
        <v>-91.202643148496492</v>
      </c>
      <c r="BI493" s="41" t="str">
        <f t="shared" si="409"/>
        <v>0,408022169570582+0,111045355333071i</v>
      </c>
      <c r="BJ493" s="20">
        <f t="shared" si="456"/>
        <v>-7.4760051748829941</v>
      </c>
      <c r="BK493" s="43">
        <f t="shared" si="410"/>
        <v>15.224606145570974</v>
      </c>
      <c r="BL493">
        <f t="shared" si="457"/>
        <v>-13.468737539394105</v>
      </c>
      <c r="BM493" s="43">
        <f t="shared" si="458"/>
        <v>-91.202643148496492</v>
      </c>
    </row>
    <row r="494" spans="14:65" x14ac:dyDescent="0.25">
      <c r="N494" s="9">
        <v>76</v>
      </c>
      <c r="O494" s="34">
        <f t="shared" si="459"/>
        <v>575439.93733715697</v>
      </c>
      <c r="P494" s="33" t="str">
        <f t="shared" si="411"/>
        <v>54,631621870174</v>
      </c>
      <c r="Q494" s="4" t="str">
        <f t="shared" si="412"/>
        <v>1+28820,8187169215i</v>
      </c>
      <c r="R494" s="4">
        <f t="shared" si="424"/>
        <v>28820.818734270073</v>
      </c>
      <c r="S494" s="4">
        <f t="shared" si="425"/>
        <v>1.5707616296542837</v>
      </c>
      <c r="T494" s="4" t="str">
        <f t="shared" si="413"/>
        <v>1+72,3119151888234i</v>
      </c>
      <c r="U494" s="4">
        <f t="shared" si="426"/>
        <v>72.3188293480722</v>
      </c>
      <c r="V494" s="4">
        <f t="shared" si="427"/>
        <v>1.5569682286479969</v>
      </c>
      <c r="W494" t="str">
        <f t="shared" si="414"/>
        <v>1-14,3876806460407i</v>
      </c>
      <c r="X494" s="4">
        <f t="shared" si="428"/>
        <v>14.422390730127031</v>
      </c>
      <c r="Y494" s="4">
        <f t="shared" si="429"/>
        <v>-1.5014040173933103</v>
      </c>
      <c r="Z494" t="str">
        <f t="shared" si="415"/>
        <v>-0,32452448593037+1,97675095259167i</v>
      </c>
      <c r="AA494" s="4">
        <f t="shared" si="430"/>
        <v>2.0032125375357568</v>
      </c>
      <c r="AB494" s="4">
        <f t="shared" si="431"/>
        <v>1.7335154674523294</v>
      </c>
      <c r="AC494" s="47" t="str">
        <f t="shared" si="432"/>
        <v>-0,981302501351764+0,105521270818703i</v>
      </c>
      <c r="AD494" s="20">
        <f t="shared" si="433"/>
        <v>-0.11401210354943188</v>
      </c>
      <c r="AE494" s="43">
        <f t="shared" si="434"/>
        <v>173.86246279091861</v>
      </c>
      <c r="AF494" t="str">
        <f t="shared" si="416"/>
        <v>171,265703090588</v>
      </c>
      <c r="AG494" t="str">
        <f t="shared" si="417"/>
        <v>1+28545,0029792686i</v>
      </c>
      <c r="AH494">
        <f t="shared" si="435"/>
        <v>28545.002996784799</v>
      </c>
      <c r="AI494">
        <f t="shared" si="436"/>
        <v>1.5707612943935927</v>
      </c>
      <c r="AJ494" t="str">
        <f t="shared" si="418"/>
        <v>1+72,3119151888234i</v>
      </c>
      <c r="AK494">
        <f t="shared" si="437"/>
        <v>72.3188293480722</v>
      </c>
      <c r="AL494">
        <f t="shared" si="438"/>
        <v>1.5569682286479969</v>
      </c>
      <c r="AM494" t="str">
        <f t="shared" si="419"/>
        <v>1-4,54556534233193i</v>
      </c>
      <c r="AN494">
        <f t="shared" si="439"/>
        <v>4.6542630223709098</v>
      </c>
      <c r="AO494">
        <f t="shared" si="440"/>
        <v>-1.3542511367026193</v>
      </c>
      <c r="AP494" s="41" t="str">
        <f t="shared" si="441"/>
        <v>0,406657154245291-1,97812713060911i</v>
      </c>
      <c r="AQ494">
        <f t="shared" si="442"/>
        <v>6.104852376861075</v>
      </c>
      <c r="AR494" s="43">
        <f t="shared" si="443"/>
        <v>-78.383158987623489</v>
      </c>
      <c r="AS494" t="str">
        <f t="shared" si="420"/>
        <v>-0,0000166666666666667</v>
      </c>
      <c r="AT494" t="str">
        <f t="shared" si="421"/>
        <v>0,00550293674586946i</v>
      </c>
      <c r="AU494">
        <f t="shared" si="444"/>
        <v>5.5029367458694599E-3</v>
      </c>
      <c r="AV494">
        <f t="shared" si="445"/>
        <v>1.5707963267948966</v>
      </c>
      <c r="AW494" t="str">
        <f t="shared" si="422"/>
        <v>1+17,2465343058757i</v>
      </c>
      <c r="AX494">
        <f t="shared" si="446"/>
        <v>17.275501311503159</v>
      </c>
      <c r="AY494">
        <f t="shared" si="447"/>
        <v>1.5128785112868843</v>
      </c>
      <c r="AZ494" t="str">
        <f t="shared" si="423"/>
        <v>1+1193,14660061559i</v>
      </c>
      <c r="BA494">
        <f t="shared" si="448"/>
        <v>1193.1470196755045</v>
      </c>
      <c r="BB494">
        <f t="shared" si="449"/>
        <v>1.5699582070153693</v>
      </c>
      <c r="BC494" s="41" t="str">
        <f t="shared" si="450"/>
        <v>-0,0119333760343066+0,208838065012584i</v>
      </c>
      <c r="BD494">
        <f t="shared" si="451"/>
        <v>-13.589649385388093</v>
      </c>
      <c r="BE494" s="43">
        <f t="shared" si="452"/>
        <v>93.270425661133103</v>
      </c>
      <c r="BF494" s="41" t="str">
        <f t="shared" si="453"/>
        <v>-0,0103266062634105-0,206192540578608i</v>
      </c>
      <c r="BG494" s="20">
        <f t="shared" si="454"/>
        <v>-13.703661488937545</v>
      </c>
      <c r="BH494" s="43">
        <f t="shared" si="455"/>
        <v>-92.867111547948284</v>
      </c>
      <c r="BI494" s="41" t="str">
        <f t="shared" si="409"/>
        <v>0,408255449566651+0,108531228109333i</v>
      </c>
      <c r="BJ494" s="20">
        <f t="shared" si="456"/>
        <v>-7.484797008527023</v>
      </c>
      <c r="BK494" s="43">
        <f t="shared" si="410"/>
        <v>14.887266673509647</v>
      </c>
      <c r="BL494">
        <f t="shared" si="457"/>
        <v>-13.703661488937545</v>
      </c>
      <c r="BM494" s="43">
        <f t="shared" si="458"/>
        <v>-92.867111547948284</v>
      </c>
    </row>
    <row r="495" spans="14:65" x14ac:dyDescent="0.25">
      <c r="N495" s="9">
        <v>77</v>
      </c>
      <c r="O495" s="34">
        <f t="shared" si="459"/>
        <v>588843.65535558888</v>
      </c>
      <c r="P495" s="33" t="str">
        <f t="shared" si="411"/>
        <v>54,631621870174</v>
      </c>
      <c r="Q495" s="4" t="str">
        <f t="shared" si="412"/>
        <v>1+29492,1418248197i</v>
      </c>
      <c r="R495" s="4">
        <f t="shared" si="424"/>
        <v>29492.141841773369</v>
      </c>
      <c r="S495" s="4">
        <f t="shared" si="425"/>
        <v>1.5707624194576284</v>
      </c>
      <c r="T495" s="4" t="str">
        <f t="shared" si="413"/>
        <v>1+73,9962760711232i</v>
      </c>
      <c r="U495" s="4">
        <f t="shared" si="426"/>
        <v>74.003032859430036</v>
      </c>
      <c r="V495" s="4">
        <f t="shared" si="427"/>
        <v>1.5572829558260721</v>
      </c>
      <c r="W495" t="str">
        <f t="shared" si="414"/>
        <v>1-14,7228127802668i</v>
      </c>
      <c r="X495" s="4">
        <f t="shared" si="428"/>
        <v>14.756734603657661</v>
      </c>
      <c r="Y495" s="4">
        <f t="shared" si="429"/>
        <v>-1.502978684399356</v>
      </c>
      <c r="Z495" t="str">
        <f t="shared" si="415"/>
        <v>-0,38694740181013+2,02279539727136i</v>
      </c>
      <c r="AA495" s="4">
        <f t="shared" si="430"/>
        <v>2.0594731148985193</v>
      </c>
      <c r="AB495" s="4">
        <f t="shared" si="431"/>
        <v>1.7598063082967823</v>
      </c>
      <c r="AC495" s="47" t="str">
        <f t="shared" si="432"/>
        <v>-0,973354825425385+0,13188170532124i</v>
      </c>
      <c r="AD495" s="20">
        <f t="shared" si="433"/>
        <v>-0.15557123341532489</v>
      </c>
      <c r="AE495" s="43">
        <f t="shared" si="434"/>
        <v>172.28387408369986</v>
      </c>
      <c r="AF495" t="str">
        <f t="shared" si="416"/>
        <v>171,265703090588</v>
      </c>
      <c r="AG495" t="str">
        <f t="shared" si="417"/>
        <v>1+29209,9015133188i</v>
      </c>
      <c r="AH495">
        <f t="shared" si="435"/>
        <v>29209.90153043628</v>
      </c>
      <c r="AI495">
        <f t="shared" si="436"/>
        <v>1.5707620918284024</v>
      </c>
      <c r="AJ495" t="str">
        <f t="shared" si="418"/>
        <v>1+73,9962760711232i</v>
      </c>
      <c r="AK495">
        <f t="shared" si="437"/>
        <v>74.003032859430036</v>
      </c>
      <c r="AL495">
        <f t="shared" si="438"/>
        <v>1.5572829558260721</v>
      </c>
      <c r="AM495" t="str">
        <f t="shared" si="419"/>
        <v>1-4,65144516076253i</v>
      </c>
      <c r="AN495">
        <f t="shared" si="439"/>
        <v>4.7577244648656531</v>
      </c>
      <c r="AO495">
        <f t="shared" si="440"/>
        <v>-1.3590326419106311</v>
      </c>
      <c r="AP495" s="41" t="str">
        <f t="shared" si="441"/>
        <v>0,406657144807687-2,02392795904543i</v>
      </c>
      <c r="AQ495">
        <f t="shared" si="442"/>
        <v>6.2957822929433647</v>
      </c>
      <c r="AR495" s="43">
        <f t="shared" si="443"/>
        <v>-78.63913220640957</v>
      </c>
      <c r="AS495" t="str">
        <f t="shared" si="420"/>
        <v>-0,0000166666666666667</v>
      </c>
      <c r="AT495" t="str">
        <f t="shared" si="421"/>
        <v>0,00563111660901247i</v>
      </c>
      <c r="AU495">
        <f t="shared" si="444"/>
        <v>5.63111660901247E-3</v>
      </c>
      <c r="AV495">
        <f t="shared" si="445"/>
        <v>1.5707963267948966</v>
      </c>
      <c r="AW495" t="str">
        <f t="shared" si="422"/>
        <v>1+17,6482576963323i</v>
      </c>
      <c r="AX495">
        <f t="shared" si="446"/>
        <v>17.676566400637665</v>
      </c>
      <c r="AY495">
        <f t="shared" si="447"/>
        <v>1.5141940349875713</v>
      </c>
      <c r="AZ495" t="str">
        <f t="shared" si="423"/>
        <v>1+1220,93855517353i</v>
      </c>
      <c r="BA495">
        <f t="shared" si="448"/>
        <v>1220.9389646944792</v>
      </c>
      <c r="BB495">
        <f t="shared" si="449"/>
        <v>1.5699772849420919</v>
      </c>
      <c r="BC495" s="41" t="str">
        <f t="shared" si="450"/>
        <v>-0,0113980045427544+0,204114665939652i</v>
      </c>
      <c r="BD495">
        <f t="shared" si="451"/>
        <v>-13.788994524948837</v>
      </c>
      <c r="BE495" s="43">
        <f t="shared" si="452"/>
        <v>93.196144789917383</v>
      </c>
      <c r="BF495" s="41" t="str">
        <f t="shared" si="453"/>
        <v>-0,0158246875032861-0,200179183308808i</v>
      </c>
      <c r="BG495" s="20">
        <f t="shared" si="454"/>
        <v>-13.944565758364181</v>
      </c>
      <c r="BH495" s="43">
        <f t="shared" si="455"/>
        <v>-94.519981126382788</v>
      </c>
      <c r="BI495" s="41" t="str">
        <f t="shared" si="409"/>
        <v>0,408478299262618+0,106073427335801i</v>
      </c>
      <c r="BJ495" s="20">
        <f t="shared" si="456"/>
        <v>-7.493212232005475</v>
      </c>
      <c r="BK495" s="43">
        <f t="shared" si="410"/>
        <v>14.557012583507786</v>
      </c>
      <c r="BL495">
        <f t="shared" si="457"/>
        <v>-13.944565758364181</v>
      </c>
      <c r="BM495" s="43">
        <f t="shared" si="458"/>
        <v>-94.519981126382788</v>
      </c>
    </row>
    <row r="496" spans="14:65" x14ac:dyDescent="0.25">
      <c r="N496" s="9">
        <v>78</v>
      </c>
      <c r="O496" s="34">
        <f t="shared" si="459"/>
        <v>602559.58607435878</v>
      </c>
      <c r="P496" s="33" t="str">
        <f t="shared" si="411"/>
        <v>54,631621870174</v>
      </c>
      <c r="Q496" s="4" t="str">
        <f t="shared" si="412"/>
        <v>1+30179,1020566882i</v>
      </c>
      <c r="R496" s="4">
        <f t="shared" si="424"/>
        <v>30179.102073255955</v>
      </c>
      <c r="S496" s="4">
        <f t="shared" si="425"/>
        <v>1.5707631912828541</v>
      </c>
      <c r="T496" s="4" t="str">
        <f t="shared" si="413"/>
        <v>1+75,7198707584524i</v>
      </c>
      <c r="U496" s="4">
        <f t="shared" si="426"/>
        <v>75.72647375704706</v>
      </c>
      <c r="V496" s="4">
        <f t="shared" si="427"/>
        <v>1.5575905215259418</v>
      </c>
      <c r="W496" t="str">
        <f t="shared" si="414"/>
        <v>1-15,0657511447086i</v>
      </c>
      <c r="X496" s="4">
        <f t="shared" si="428"/>
        <v>15.098902528140529</v>
      </c>
      <c r="Y496" s="4">
        <f t="shared" si="429"/>
        <v>-1.5045178331550204</v>
      </c>
      <c r="Z496" t="str">
        <f t="shared" si="415"/>
        <v>-0,45231221908041+2,06991235484554i</v>
      </c>
      <c r="AA496" s="4">
        <f t="shared" si="430"/>
        <v>2.1187551770489326</v>
      </c>
      <c r="AB496" s="4">
        <f t="shared" si="431"/>
        <v>1.7859322005110179</v>
      </c>
      <c r="AC496" s="47" t="str">
        <f t="shared" si="432"/>
        <v>-0,964104413621282+0,157595462715254i</v>
      </c>
      <c r="AD496" s="20">
        <f t="shared" si="433"/>
        <v>-0.20299762484800918</v>
      </c>
      <c r="AE496" s="43">
        <f t="shared" si="434"/>
        <v>170.71636199026565</v>
      </c>
      <c r="AF496" t="str">
        <f t="shared" si="416"/>
        <v>171,265703090588</v>
      </c>
      <c r="AG496" t="str">
        <f t="shared" si="417"/>
        <v>1+29890,2875237901i</v>
      </c>
      <c r="AH496">
        <f t="shared" si="435"/>
        <v>29890.287540517937</v>
      </c>
      <c r="AI496">
        <f t="shared" si="436"/>
        <v>1.5707628711113797</v>
      </c>
      <c r="AJ496" t="str">
        <f t="shared" si="418"/>
        <v>1+75,7198707584524i</v>
      </c>
      <c r="AK496">
        <f t="shared" si="437"/>
        <v>75.72647375704706</v>
      </c>
      <c r="AL496">
        <f t="shared" si="438"/>
        <v>1.5575905215259418</v>
      </c>
      <c r="AM496" t="str">
        <f t="shared" si="419"/>
        <v>1-4,75979123698652i</v>
      </c>
      <c r="AN496">
        <f t="shared" si="439"/>
        <v>4.8637035908547785</v>
      </c>
      <c r="AO496">
        <f t="shared" si="440"/>
        <v>-1.3637148249541946</v>
      </c>
      <c r="AP496" s="41" t="str">
        <f t="shared" si="441"/>
        <v>0,406657135794842-2,07080190087546i</v>
      </c>
      <c r="AQ496">
        <f t="shared" si="442"/>
        <v>6.4871028568174154</v>
      </c>
      <c r="AR496" s="43">
        <f t="shared" si="443"/>
        <v>-78.889823966813637</v>
      </c>
      <c r="AS496" t="str">
        <f t="shared" si="420"/>
        <v>-0,0000166666666666667</v>
      </c>
      <c r="AT496" t="str">
        <f t="shared" si="421"/>
        <v>0,00576228216471824i</v>
      </c>
      <c r="AU496">
        <f t="shared" si="444"/>
        <v>5.7622821647182404E-3</v>
      </c>
      <c r="AV496">
        <f t="shared" si="445"/>
        <v>1.5707963267948966</v>
      </c>
      <c r="AW496" t="str">
        <f t="shared" si="422"/>
        <v>1+18,0593384266217i</v>
      </c>
      <c r="AX496">
        <f t="shared" si="446"/>
        <v>18.087003743220023</v>
      </c>
      <c r="AY496">
        <f t="shared" si="447"/>
        <v>1.5154798032501831</v>
      </c>
      <c r="AZ496" t="str">
        <f t="shared" si="423"/>
        <v>1+1249,37786751446i</v>
      </c>
      <c r="BA496">
        <f t="shared" si="448"/>
        <v>1249.3782677135773</v>
      </c>
      <c r="BB496">
        <f t="shared" si="449"/>
        <v>1.5699959286027598</v>
      </c>
      <c r="BC496" s="41" t="str">
        <f t="shared" si="450"/>
        <v>-0,0108865779549787+0,199496768130807i</v>
      </c>
      <c r="BD496">
        <f t="shared" si="451"/>
        <v>-13.988369045854034</v>
      </c>
      <c r="BE496" s="43">
        <f t="shared" si="452"/>
        <v>93.123543898108807</v>
      </c>
      <c r="BF496" s="41" t="str">
        <f t="shared" si="453"/>
        <v>-0,0209439876281452-0,194051389948293i</v>
      </c>
      <c r="BG496" s="20">
        <f t="shared" si="454"/>
        <v>-14.191366670702044</v>
      </c>
      <c r="BH496" s="43">
        <f t="shared" si="455"/>
        <v>-96.16009411162554</v>
      </c>
      <c r="BI496" s="41" t="str">
        <f t="shared" si="409"/>
        <v>0,408691182054007+0,1036707306516i</v>
      </c>
      <c r="BJ496" s="20">
        <f t="shared" si="456"/>
        <v>-7.5012661890366221</v>
      </c>
      <c r="BK496" s="43">
        <f t="shared" si="410"/>
        <v>14.233719931295116</v>
      </c>
      <c r="BL496">
        <f t="shared" si="457"/>
        <v>-14.191366670702044</v>
      </c>
      <c r="BM496" s="43">
        <f t="shared" si="458"/>
        <v>-96.16009411162554</v>
      </c>
    </row>
    <row r="497" spans="14:65" x14ac:dyDescent="0.25">
      <c r="N497" s="9">
        <v>79</v>
      </c>
      <c r="O497" s="34">
        <f t="shared" si="459"/>
        <v>616595.00186148309</v>
      </c>
      <c r="P497" s="33" t="str">
        <f t="shared" si="411"/>
        <v>54,631621870174</v>
      </c>
      <c r="Q497" s="4" t="str">
        <f t="shared" si="412"/>
        <v>1+30882,0636479347i</v>
      </c>
      <c r="R497" s="4">
        <f t="shared" si="424"/>
        <v>30882.06366412533</v>
      </c>
      <c r="S497" s="4">
        <f t="shared" si="425"/>
        <v>1.5707639455391926</v>
      </c>
      <c r="T497" s="4" t="str">
        <f t="shared" si="413"/>
        <v>1+77,4836131235288i</v>
      </c>
      <c r="U497" s="4">
        <f t="shared" si="426"/>
        <v>77.490065832187071</v>
      </c>
      <c r="V497" s="4">
        <f t="shared" si="427"/>
        <v>1.55789108859012</v>
      </c>
      <c r="W497" t="str">
        <f t="shared" si="414"/>
        <v>1-15,4166775698261i</v>
      </c>
      <c r="X497" s="4">
        <f t="shared" si="428"/>
        <v>15.449075936507631</v>
      </c>
      <c r="Y497" s="4">
        <f t="shared" si="429"/>
        <v>-1.5060222505512466</v>
      </c>
      <c r="Z497" t="str">
        <f t="shared" si="415"/>
        <v>-0,52075758528225+2,1181268073488i</v>
      </c>
      <c r="AA497" s="4">
        <f t="shared" si="430"/>
        <v>2.1812037123200163</v>
      </c>
      <c r="AB497" s="4">
        <f t="shared" si="431"/>
        <v>1.8118724819032794</v>
      </c>
      <c r="AC497" s="47" t="str">
        <f t="shared" si="432"/>
        <v>-0,953613101434128+0,182582952984922i</v>
      </c>
      <c r="AD497" s="20">
        <f t="shared" si="433"/>
        <v>-0.25619821250408864</v>
      </c>
      <c r="AE497" s="43">
        <f t="shared" si="434"/>
        <v>169.16107458821068</v>
      </c>
      <c r="AF497" t="str">
        <f t="shared" si="416"/>
        <v>171,265703090588</v>
      </c>
      <c r="AG497" t="str">
        <f t="shared" si="417"/>
        <v>1+30586,5217603513i</v>
      </c>
      <c r="AH497">
        <f t="shared" si="435"/>
        <v>30586.52177669837</v>
      </c>
      <c r="AI497">
        <f t="shared" si="436"/>
        <v>1.5707636326557108</v>
      </c>
      <c r="AJ497" t="str">
        <f t="shared" si="418"/>
        <v>1+77,4836131235288i</v>
      </c>
      <c r="AK497">
        <f t="shared" si="437"/>
        <v>77.490065832187071</v>
      </c>
      <c r="AL497">
        <f t="shared" si="438"/>
        <v>1.55789108859012</v>
      </c>
      <c r="AM497" t="str">
        <f t="shared" si="419"/>
        <v>1-4,87066101752766i</v>
      </c>
      <c r="AN497">
        <f t="shared" si="439"/>
        <v>4.9722569068445752</v>
      </c>
      <c r="AO497">
        <f t="shared" si="440"/>
        <v>-1.368299346833131</v>
      </c>
      <c r="AP497" s="41" t="str">
        <f t="shared" si="441"/>
        <v>0,406657127187643-2,11877380928362i</v>
      </c>
      <c r="AQ497">
        <f t="shared" si="442"/>
        <v>6.6787979687267285</v>
      </c>
      <c r="AR497" s="43">
        <f t="shared" si="443"/>
        <v>-79.135320130600149</v>
      </c>
      <c r="AS497" t="str">
        <f t="shared" si="420"/>
        <v>-0,0000166666666666667</v>
      </c>
      <c r="AT497" t="str">
        <f t="shared" si="421"/>
        <v>0,00589650295870054i</v>
      </c>
      <c r="AU497">
        <f t="shared" si="444"/>
        <v>5.8965029587005396E-3</v>
      </c>
      <c r="AV497">
        <f t="shared" si="445"/>
        <v>1.5707963267948966</v>
      </c>
      <c r="AW497" t="str">
        <f t="shared" si="422"/>
        <v>1+18,4799944571885i</v>
      </c>
      <c r="AX497">
        <f t="shared" si="446"/>
        <v>18.507030964952691</v>
      </c>
      <c r="AY497">
        <f t="shared" si="447"/>
        <v>1.5167364807913861</v>
      </c>
      <c r="AZ497" t="str">
        <f t="shared" si="423"/>
        <v>1+1278,47961653823i</v>
      </c>
      <c r="BA497">
        <f t="shared" si="448"/>
        <v>1278.4800076277061</v>
      </c>
      <c r="BB497">
        <f t="shared" si="449"/>
        <v>1.5700141478824372</v>
      </c>
      <c r="BC497" s="41" t="str">
        <f t="shared" si="450"/>
        <v>-0,0103980317805322+0,194982103767047i</v>
      </c>
      <c r="BD497">
        <f t="shared" si="451"/>
        <v>-14.187771633816377</v>
      </c>
      <c r="BE497" s="43">
        <f t="shared" si="452"/>
        <v>93.052585466620258</v>
      </c>
      <c r="BF497" s="41" t="str">
        <f t="shared" si="453"/>
        <v>-0,025684708949956-0,187835992045165i</v>
      </c>
      <c r="BG497" s="20">
        <f t="shared" si="454"/>
        <v>-14.443969846320478</v>
      </c>
      <c r="BH497" s="43">
        <f t="shared" si="455"/>
        <v>-97.786339945169061</v>
      </c>
      <c r="BI497" s="41" t="str">
        <f t="shared" si="409"/>
        <v>0,408894541008363+0,101321939575601i</v>
      </c>
      <c r="BJ497" s="20">
        <f t="shared" si="456"/>
        <v>-7.5089736650896537</v>
      </c>
      <c r="BK497" s="43">
        <f t="shared" si="410"/>
        <v>13.917265336020185</v>
      </c>
      <c r="BL497">
        <f t="shared" si="457"/>
        <v>-14.443969846320478</v>
      </c>
      <c r="BM497" s="43">
        <f t="shared" si="458"/>
        <v>-97.786339945169061</v>
      </c>
    </row>
    <row r="498" spans="14:65" x14ac:dyDescent="0.25">
      <c r="N498" s="9">
        <v>80</v>
      </c>
      <c r="O498" s="34">
        <f t="shared" si="459"/>
        <v>630957.34448019415</v>
      </c>
      <c r="P498" s="33" t="str">
        <f t="shared" si="411"/>
        <v>54,631621870174</v>
      </c>
      <c r="Q498" s="4" t="str">
        <f t="shared" si="412"/>
        <v>1+31601,3993180998i</v>
      </c>
      <c r="R498" s="4">
        <f t="shared" si="424"/>
        <v>31601.399333921883</v>
      </c>
      <c r="S498" s="4">
        <f t="shared" si="425"/>
        <v>1.5707646826265609</v>
      </c>
      <c r="T498" s="4" t="str">
        <f t="shared" si="413"/>
        <v>1+79,2884383259i</v>
      </c>
      <c r="U498" s="4">
        <f t="shared" si="426"/>
        <v>79.294744164793457</v>
      </c>
      <c r="V498" s="4">
        <f t="shared" si="427"/>
        <v>1.5581848161658904</v>
      </c>
      <c r="W498" t="str">
        <f t="shared" si="414"/>
        <v>1-15,7757781214549i</v>
      </c>
      <c r="X498" s="4">
        <f t="shared" si="428"/>
        <v>15.807440505577588</v>
      </c>
      <c r="Y498" s="4">
        <f t="shared" si="429"/>
        <v>-1.5074927069954678</v>
      </c>
      <c r="Z498" t="str">
        <f t="shared" si="415"/>
        <v>-0,59242868221399+2,16746431872203i</v>
      </c>
      <c r="AA498" s="4">
        <f t="shared" si="430"/>
        <v>2.2469698076393816</v>
      </c>
      <c r="AB498" s="4">
        <f t="shared" si="431"/>
        <v>1.8376074269111107</v>
      </c>
      <c r="AC498" s="47" t="str">
        <f t="shared" si="432"/>
        <v>-0,941948544671899+0,20677153714647i</v>
      </c>
      <c r="AD498" s="20">
        <f t="shared" si="433"/>
        <v>-0.31506997699619577</v>
      </c>
      <c r="AE498" s="43">
        <f t="shared" si="434"/>
        <v>167.61910702347197</v>
      </c>
      <c r="AF498" t="str">
        <f t="shared" si="416"/>
        <v>171,265703090588</v>
      </c>
      <c r="AG498" t="str">
        <f t="shared" si="417"/>
        <v>1+31298,9733756102i</v>
      </c>
      <c r="AH498">
        <f t="shared" si="435"/>
        <v>31298.973391585165</v>
      </c>
      <c r="AI498">
        <f t="shared" si="436"/>
        <v>1.5707643768651767</v>
      </c>
      <c r="AJ498" t="str">
        <f t="shared" si="418"/>
        <v>1+79,2884383259i</v>
      </c>
      <c r="AK498">
        <f t="shared" si="437"/>
        <v>79.294744164793457</v>
      </c>
      <c r="AL498">
        <f t="shared" si="438"/>
        <v>1.5581848161658904</v>
      </c>
      <c r="AM498" t="str">
        <f t="shared" si="419"/>
        <v>1-4,98411328701109i</v>
      </c>
      <c r="AN498">
        <f t="shared" si="439"/>
        <v>5.0834422646234998</v>
      </c>
      <c r="AO498">
        <f t="shared" si="440"/>
        <v>-1.3727878671058302</v>
      </c>
      <c r="AP498" s="41" t="str">
        <f t="shared" si="441"/>
        <v>0,406657118967832-2,16786911961071i</v>
      </c>
      <c r="AQ498">
        <f t="shared" si="442"/>
        <v>6.8708521310244652</v>
      </c>
      <c r="AR498" s="43">
        <f t="shared" si="443"/>
        <v>-79.37570668812792</v>
      </c>
      <c r="AS498" t="str">
        <f t="shared" si="420"/>
        <v>-0,0000166666666666667</v>
      </c>
      <c r="AT498" t="str">
        <f t="shared" si="421"/>
        <v>0,006033850156601i</v>
      </c>
      <c r="AU498">
        <f t="shared" si="444"/>
        <v>6.0338501566009999E-3</v>
      </c>
      <c r="AV498">
        <f t="shared" si="445"/>
        <v>1.5707963267948966</v>
      </c>
      <c r="AW498" t="str">
        <f t="shared" si="422"/>
        <v>1+18,9104488254282i</v>
      </c>
      <c r="AX498">
        <f t="shared" si="446"/>
        <v>18.936870775794478</v>
      </c>
      <c r="AY498">
        <f t="shared" si="447"/>
        <v>1.5179647180325035</v>
      </c>
      <c r="AZ498" t="str">
        <f t="shared" si="423"/>
        <v>1+1308,25923237735i</v>
      </c>
      <c r="BA498">
        <f t="shared" si="448"/>
        <v>1308.2596145645452</v>
      </c>
      <c r="BB498">
        <f t="shared" si="449"/>
        <v>1.5700319524411788</v>
      </c>
      <c r="BC498" s="41" t="str">
        <f t="shared" si="450"/>
        <v>-0,00993134828443724+0,190568447826382i</v>
      </c>
      <c r="BD498">
        <f t="shared" si="451"/>
        <v>-14.387201032992527</v>
      </c>
      <c r="BE498" s="43">
        <f t="shared" si="452"/>
        <v>92.983232782535424</v>
      </c>
      <c r="BF498" s="41" t="str">
        <f t="shared" si="453"/>
        <v>-0,0300493118255225-0,181559192241153i</v>
      </c>
      <c r="BG498" s="20">
        <f t="shared" si="454"/>
        <v>-14.702271009988737</v>
      </c>
      <c r="BH498" s="43">
        <f t="shared" si="455"/>
        <v>-99.397660193992607</v>
      </c>
      <c r="BI498" s="41" t="str">
        <f t="shared" ref="BI498:BI560" si="460">IMPRODUCT(AP498,BC498)</f>
        <v>0,409088799734143+0,0990258792211784i</v>
      </c>
      <c r="BJ498" s="20">
        <f t="shared" si="456"/>
        <v>-7.5163489019680574</v>
      </c>
      <c r="BK498" s="43">
        <f t="shared" ref="BK498:BK560" si="461">(180/PI())*IMARGUMENT(BI498)</f>
        <v>13.60752609440752</v>
      </c>
      <c r="BL498">
        <f t="shared" si="457"/>
        <v>-14.702271009988737</v>
      </c>
      <c r="BM498" s="43">
        <f t="shared" si="458"/>
        <v>-99.397660193992607</v>
      </c>
    </row>
    <row r="499" spans="14:65" x14ac:dyDescent="0.25">
      <c r="N499" s="9">
        <v>81</v>
      </c>
      <c r="O499" s="34">
        <f t="shared" si="459"/>
        <v>645654.22903465747</v>
      </c>
      <c r="P499" s="33" t="str">
        <f t="shared" si="411"/>
        <v>54,631621870174</v>
      </c>
      <c r="Q499" s="4" t="str">
        <f t="shared" si="412"/>
        <v>1+32337,4904684774i</v>
      </c>
      <c r="R499" s="4">
        <f t="shared" si="424"/>
        <v>32337.490483939328</v>
      </c>
      <c r="S499" s="4">
        <f t="shared" si="425"/>
        <v>1.5707654029357723</v>
      </c>
      <c r="T499" s="4" t="str">
        <f t="shared" si="413"/>
        <v>1+81,1353033077784i</v>
      </c>
      <c r="U499" s="4">
        <f t="shared" si="426"/>
        <v>81.141465619282457</v>
      </c>
      <c r="V499" s="4">
        <f t="shared" si="427"/>
        <v>1.5584718597886529</v>
      </c>
      <c r="W499" t="str">
        <f t="shared" si="414"/>
        <v>1-16,1432431994608i</v>
      </c>
      <c r="X499" s="4">
        <f t="shared" si="428"/>
        <v>16.174186254551955</v>
      </c>
      <c r="Y499" s="4">
        <f t="shared" si="429"/>
        <v>-1.5089299566929542</v>
      </c>
      <c r="Z499" t="str">
        <f t="shared" si="415"/>
        <v>-0,66747753388135+2,21795104836684i</v>
      </c>
      <c r="AA499" s="4">
        <f t="shared" si="430"/>
        <v>2.3162109384051992</v>
      </c>
      <c r="AB499" s="4">
        <f t="shared" si="431"/>
        <v>1.8631183200873749</v>
      </c>
      <c r="AC499" s="47" t="str">
        <f t="shared" si="432"/>
        <v>-0,929183326706246+0,230095967233121i</v>
      </c>
      <c r="AD499" s="20">
        <f t="shared" si="433"/>
        <v>-0.37950081145632097</v>
      </c>
      <c r="AE499" s="43">
        <f t="shared" si="434"/>
        <v>166.09149728853311</v>
      </c>
      <c r="AF499" t="str">
        <f t="shared" si="416"/>
        <v>171,265703090588</v>
      </c>
      <c r="AG499" t="str">
        <f t="shared" si="417"/>
        <v>1+32028,0201208439i</v>
      </c>
      <c r="AH499">
        <f t="shared" si="435"/>
        <v>32028.020136455227</v>
      </c>
      <c r="AI499">
        <f t="shared" si="436"/>
        <v>1.5707651041343669</v>
      </c>
      <c r="AJ499" t="str">
        <f t="shared" si="418"/>
        <v>1+81,1353033077784i</v>
      </c>
      <c r="AK499">
        <f t="shared" si="437"/>
        <v>81.141465619282457</v>
      </c>
      <c r="AL499">
        <f t="shared" si="438"/>
        <v>1.5584718597886529</v>
      </c>
      <c r="AM499" t="str">
        <f t="shared" si="419"/>
        <v>1-5,10020819933186i</v>
      </c>
      <c r="AN499">
        <f t="shared" si="439"/>
        <v>5.1973188930959333</v>
      </c>
      <c r="AO499">
        <f t="shared" si="440"/>
        <v>-1.3771820418674019</v>
      </c>
      <c r="AP499" s="41" t="str">
        <f t="shared" si="441"/>
        <v>0,406657111117971-2,21811386284015i</v>
      </c>
      <c r="AQ499">
        <f t="shared" si="442"/>
        <v>7.063250430882996</v>
      </c>
      <c r="AR499" s="43">
        <f t="shared" si="443"/>
        <v>-79.611069637743697</v>
      </c>
      <c r="AS499" t="str">
        <f t="shared" si="420"/>
        <v>-0,0000166666666666667</v>
      </c>
      <c r="AT499" t="str">
        <f t="shared" si="421"/>
        <v>0,00617439658172194i</v>
      </c>
      <c r="AU499">
        <f t="shared" si="444"/>
        <v>6.1743965817219401E-3</v>
      </c>
      <c r="AV499">
        <f t="shared" si="445"/>
        <v>1.5707963267948966</v>
      </c>
      <c r="AW499" t="str">
        <f t="shared" si="422"/>
        <v>1+19,3509297639445i</v>
      </c>
      <c r="AX499">
        <f t="shared" si="446"/>
        <v>19.376751088072353</v>
      </c>
      <c r="AY499">
        <f t="shared" si="447"/>
        <v>1.5191651513697513</v>
      </c>
      <c r="AZ499" t="str">
        <f t="shared" si="423"/>
        <v>1+1338,73250457834i</v>
      </c>
      <c r="BA499">
        <f t="shared" si="448"/>
        <v>1338.7328780658952</v>
      </c>
      <c r="BB499">
        <f t="shared" si="449"/>
        <v>1.5700493517191518</v>
      </c>
      <c r="BC499" s="41" t="str">
        <f t="shared" si="450"/>
        <v>-0,00948555448344417+0,186253617688104i</v>
      </c>
      <c r="BD499">
        <f t="shared" si="451"/>
        <v>-14.586656043414427</v>
      </c>
      <c r="BE499" s="43">
        <f t="shared" si="452"/>
        <v>92.915449923918757</v>
      </c>
      <c r="BF499" s="41" t="str">
        <f t="shared" si="453"/>
        <v>-0,0340423872420322-0,175246343928116i</v>
      </c>
      <c r="BG499" s="20">
        <f t="shared" si="454"/>
        <v>-14.966156854870764</v>
      </c>
      <c r="BH499" s="43">
        <f t="shared" si="455"/>
        <v>-100.99305278754814</v>
      </c>
      <c r="BI499" s="41" t="str">
        <f t="shared" si="460"/>
        <v>0,409274363214523+0,0967813980007685i</v>
      </c>
      <c r="BJ499" s="20">
        <f t="shared" si="456"/>
        <v>-7.5234056125314375</v>
      </c>
      <c r="BK499" s="43">
        <f t="shared" si="461"/>
        <v>13.304380286175098</v>
      </c>
      <c r="BL499">
        <f t="shared" si="457"/>
        <v>-14.966156854870764</v>
      </c>
      <c r="BM499" s="43">
        <f t="shared" si="458"/>
        <v>-100.99305278754814</v>
      </c>
    </row>
    <row r="500" spans="14:65" x14ac:dyDescent="0.25">
      <c r="N500" s="9">
        <v>82</v>
      </c>
      <c r="O500" s="34">
        <f t="shared" si="459"/>
        <v>660693.44800759677</v>
      </c>
      <c r="P500" s="33" t="str">
        <f t="shared" si="411"/>
        <v>54,631621870174</v>
      </c>
      <c r="Q500" s="4" t="str">
        <f t="shared" si="412"/>
        <v>1+33090,7273843385i</v>
      </c>
      <c r="R500" s="4">
        <f t="shared" si="424"/>
        <v>33090.727399448471</v>
      </c>
      <c r="S500" s="4">
        <f t="shared" si="425"/>
        <v>1.5707661068487444</v>
      </c>
      <c r="T500" s="4" t="str">
        <f t="shared" si="413"/>
        <v>1+83,025187301423i</v>
      </c>
      <c r="U500" s="4">
        <f t="shared" si="426"/>
        <v>83.031209351883888</v>
      </c>
      <c r="V500" s="4">
        <f t="shared" si="427"/>
        <v>1.558752371463421</v>
      </c>
      <c r="W500" t="str">
        <f t="shared" si="414"/>
        <v>1-16,5192676386922i</v>
      </c>
      <c r="X500" s="4">
        <f t="shared" si="428"/>
        <v>16.549507645810593</v>
      </c>
      <c r="Y500" s="4">
        <f t="shared" si="429"/>
        <v>-1.5103347379278593</v>
      </c>
      <c r="Z500" t="str">
        <f t="shared" si="415"/>
        <v>-0,74606332896067+2,26961376501553i</v>
      </c>
      <c r="AA500" s="4">
        <f t="shared" si="430"/>
        <v>2.3890912776969921</v>
      </c>
      <c r="AB500" s="4">
        <f t="shared" si="431"/>
        <v>1.8883875173764373</v>
      </c>
      <c r="AC500" s="47" t="str">
        <f t="shared" si="432"/>
        <v>-0,915394040321708+0,25249869935116i</v>
      </c>
      <c r="AD500" s="20">
        <f t="shared" si="433"/>
        <v>-0.44937043034588031</v>
      </c>
      <c r="AE500" s="43">
        <f t="shared" si="434"/>
        <v>164.57922270011312</v>
      </c>
      <c r="AF500" t="str">
        <f t="shared" si="416"/>
        <v>171,265703090588</v>
      </c>
      <c r="AG500" t="str">
        <f t="shared" si="417"/>
        <v>1+32774,0485462865i</v>
      </c>
      <c r="AH500">
        <f t="shared" si="435"/>
        <v>32774.048561542477</v>
      </c>
      <c r="AI500">
        <f t="shared" si="436"/>
        <v>1.5707658148488892</v>
      </c>
      <c r="AJ500" t="str">
        <f t="shared" si="418"/>
        <v>1+83,025187301423i</v>
      </c>
      <c r="AK500">
        <f t="shared" si="437"/>
        <v>83.031209351883888</v>
      </c>
      <c r="AL500">
        <f t="shared" si="438"/>
        <v>1.558752371463421</v>
      </c>
      <c r="AM500" t="str">
        <f t="shared" si="419"/>
        <v>1-5,21900730954912i</v>
      </c>
      <c r="AN500">
        <f t="shared" si="439"/>
        <v>5.3139474307831787</v>
      </c>
      <c r="AO500">
        <f t="shared" si="440"/>
        <v>-1.3814835218741544</v>
      </c>
      <c r="AP500" s="41" t="str">
        <f t="shared" si="441"/>
        <v>0,406657103621414-2,26953467939983i</v>
      </c>
      <c r="AQ500">
        <f t="shared" si="442"/>
        <v>7.255978523034404</v>
      </c>
      <c r="AR500" s="43">
        <f t="shared" si="443"/>
        <v>-79.841494873664701</v>
      </c>
      <c r="AS500" t="str">
        <f t="shared" si="420"/>
        <v>-0,0000166666666666667</v>
      </c>
      <c r="AT500" t="str">
        <f t="shared" si="421"/>
        <v>0,00631821675363829i</v>
      </c>
      <c r="AU500">
        <f t="shared" si="444"/>
        <v>6.3182167536382904E-3</v>
      </c>
      <c r="AV500">
        <f t="shared" si="445"/>
        <v>1.5707963267948966</v>
      </c>
      <c r="AW500" t="str">
        <f t="shared" si="422"/>
        <v>1+19,8016708215615i</v>
      </c>
      <c r="AX500">
        <f t="shared" si="446"/>
        <v>19.82690513735011</v>
      </c>
      <c r="AY500">
        <f t="shared" si="447"/>
        <v>1.5203384034419425</v>
      </c>
      <c r="AZ500" t="str">
        <f t="shared" si="423"/>
        <v>1+1369,91559047348i</v>
      </c>
      <c r="BA500">
        <f t="shared" si="448"/>
        <v>1369.915955459423</v>
      </c>
      <c r="BB500">
        <f t="shared" si="449"/>
        <v>1.570066354941642</v>
      </c>
      <c r="BC500" s="41" t="str">
        <f t="shared" si="450"/>
        <v>-0,00905972022374695+0,182035472708587i</v>
      </c>
      <c r="BD500">
        <f t="shared" si="451"/>
        <v>-14.786135518531216</v>
      </c>
      <c r="BE500" s="43">
        <f t="shared" si="452"/>
        <v>92.849201744764045</v>
      </c>
      <c r="BF500" s="41" t="str">
        <f t="shared" si="453"/>
        <v>-0,0376705061948918-0,168921754417567i</v>
      </c>
      <c r="BG500" s="20">
        <f t="shared" si="454"/>
        <v>-15.235505948877094</v>
      </c>
      <c r="BH500" s="43">
        <f t="shared" si="455"/>
        <v>-102.57157555512281</v>
      </c>
      <c r="BI500" s="41" t="str">
        <f t="shared" si="460"/>
        <v>0,40945161860727+0,0945873673214826i</v>
      </c>
      <c r="BJ500" s="20">
        <f t="shared" si="456"/>
        <v>-7.5301569954968164</v>
      </c>
      <c r="BK500" s="43">
        <f t="shared" si="461"/>
        <v>13.007706871099366</v>
      </c>
      <c r="BL500">
        <f t="shared" si="457"/>
        <v>-15.235505948877094</v>
      </c>
      <c r="BM500" s="43">
        <f t="shared" si="458"/>
        <v>-102.57157555512281</v>
      </c>
    </row>
    <row r="501" spans="14:65" x14ac:dyDescent="0.25">
      <c r="N501" s="9">
        <v>83</v>
      </c>
      <c r="O501" s="34">
        <f t="shared" si="459"/>
        <v>676082.97539198259</v>
      </c>
      <c r="P501" s="33" t="str">
        <f t="shared" si="411"/>
        <v>54,631621870174</v>
      </c>
      <c r="Q501" s="4" t="str">
        <f t="shared" si="412"/>
        <v>1+33861,5094418665i</v>
      </c>
      <c r="R501" s="4">
        <f t="shared" si="424"/>
        <v>33861.509456632528</v>
      </c>
      <c r="S501" s="4">
        <f t="shared" si="425"/>
        <v>1.570766794738701</v>
      </c>
      <c r="T501" s="4" t="str">
        <f t="shared" si="413"/>
        <v>1+84,9590923483432i</v>
      </c>
      <c r="U501" s="4">
        <f t="shared" si="426"/>
        <v>84.964977329805194</v>
      </c>
      <c r="V501" s="4">
        <f t="shared" si="427"/>
        <v>1.5590264997445165</v>
      </c>
      <c r="W501" t="str">
        <f t="shared" si="414"/>
        <v>1-16,904050812284i</v>
      </c>
      <c r="X501" s="4">
        <f t="shared" si="428"/>
        <v>16.933603688060007</v>
      </c>
      <c r="Y501" s="4">
        <f t="shared" si="429"/>
        <v>-1.5117077733435882</v>
      </c>
      <c r="Z501" t="str">
        <f t="shared" si="415"/>
        <v>-0,82835275845951+2,32247986092433i</v>
      </c>
      <c r="AA501" s="4">
        <f t="shared" si="430"/>
        <v>2.4657820254123388</v>
      </c>
      <c r="AB501" s="4">
        <f t="shared" si="431"/>
        <v>1.9133984950079721</v>
      </c>
      <c r="AC501" s="47" t="str">
        <f t="shared" si="432"/>
        <v>-0,900660363547905+0,273930081456373i</v>
      </c>
      <c r="AD501" s="20">
        <f t="shared" si="433"/>
        <v>-0.52455130599336131</v>
      </c>
      <c r="AE501" s="43">
        <f t="shared" si="434"/>
        <v>163.08319708624751</v>
      </c>
      <c r="AF501" t="str">
        <f t="shared" si="416"/>
        <v>171,265703090588</v>
      </c>
      <c r="AG501" t="str">
        <f t="shared" si="417"/>
        <v>1+33537,4542060842i</v>
      </c>
      <c r="AH501">
        <f t="shared" si="435"/>
        <v>33537.454220992899</v>
      </c>
      <c r="AI501">
        <f t="shared" si="436"/>
        <v>1.5707665093855738</v>
      </c>
      <c r="AJ501" t="str">
        <f t="shared" si="418"/>
        <v>1+84,9590923483432i</v>
      </c>
      <c r="AK501">
        <f t="shared" si="437"/>
        <v>84.964977329805194</v>
      </c>
      <c r="AL501">
        <f t="shared" si="438"/>
        <v>1.5590264997445165</v>
      </c>
      <c r="AM501" t="str">
        <f t="shared" si="419"/>
        <v>1-5,34057360652365i</v>
      </c>
      <c r="AN501">
        <f t="shared" si="439"/>
        <v>5.4333899590124242</v>
      </c>
      <c r="AO501">
        <f t="shared" si="440"/>
        <v>-1.3856939508078931</v>
      </c>
      <c r="AP501" s="41" t="str">
        <f t="shared" si="441"/>
        <v>0,406657096462259-2,32215883328737i</v>
      </c>
      <c r="AQ501">
        <f t="shared" si="442"/>
        <v>7.4490226125944883</v>
      </c>
      <c r="AR501" s="43">
        <f t="shared" si="443"/>
        <v>-80.067068081976501</v>
      </c>
      <c r="AS501" t="str">
        <f t="shared" si="420"/>
        <v>-0,0000166666666666667</v>
      </c>
      <c r="AT501" t="str">
        <f t="shared" si="421"/>
        <v>0,00646538692770892i</v>
      </c>
      <c r="AU501">
        <f t="shared" si="444"/>
        <v>6.4653869277089202E-3</v>
      </c>
      <c r="AV501">
        <f t="shared" si="445"/>
        <v>1.5707963267948966</v>
      </c>
      <c r="AW501" t="str">
        <f t="shared" si="422"/>
        <v>1+20,2629109871541i</v>
      </c>
      <c r="AX501">
        <f t="shared" si="446"/>
        <v>20.287571606117137</v>
      </c>
      <c r="AY501">
        <f t="shared" si="447"/>
        <v>1.5214850833954778</v>
      </c>
      <c r="AZ501" t="str">
        <f t="shared" si="423"/>
        <v>1+1401,82502374766i</v>
      </c>
      <c r="BA501">
        <f t="shared" si="448"/>
        <v>1401.8253804255105</v>
      </c>
      <c r="BB501">
        <f t="shared" si="449"/>
        <v>1.5700829711239435</v>
      </c>
      <c r="BC501" s="41" t="str">
        <f t="shared" si="450"/>
        <v>-0,00865295633724127+0,177911913771654i</v>
      </c>
      <c r="BD501">
        <f t="shared" si="451"/>
        <v>-14.9856383628568</v>
      </c>
      <c r="BE501" s="43">
        <f t="shared" si="452"/>
        <v>92.784453860091688</v>
      </c>
      <c r="BF501" s="41" t="str">
        <f t="shared" si="453"/>
        <v>-0,0409420502310645-0,16260851397138i</v>
      </c>
      <c r="BG501" s="20">
        <f t="shared" si="454"/>
        <v>-15.510189668850181</v>
      </c>
      <c r="BH501" s="43">
        <f t="shared" si="455"/>
        <v>-104.13234905366082</v>
      </c>
      <c r="BI501" s="41" t="str">
        <f t="shared" si="460"/>
        <v>0,40962093601199+0,0924426812729993i</v>
      </c>
      <c r="BJ501" s="20">
        <f t="shared" si="456"/>
        <v>-7.5366157502623121</v>
      </c>
      <c r="BK501" s="43">
        <f t="shared" si="461"/>
        <v>12.717385778115183</v>
      </c>
      <c r="BL501">
        <f t="shared" si="457"/>
        <v>-15.510189668850181</v>
      </c>
      <c r="BM501" s="43">
        <f t="shared" si="458"/>
        <v>-104.13234905366082</v>
      </c>
    </row>
    <row r="502" spans="14:65" x14ac:dyDescent="0.25">
      <c r="N502" s="9">
        <v>84</v>
      </c>
      <c r="O502" s="34">
        <f t="shared" si="459"/>
        <v>691830.97091893724</v>
      </c>
      <c r="P502" s="33" t="str">
        <f t="shared" si="411"/>
        <v>54,631621870174</v>
      </c>
      <c r="Q502" s="4" t="str">
        <f t="shared" si="412"/>
        <v>1+34650,2453199105i</v>
      </c>
      <c r="R502" s="4">
        <f t="shared" si="424"/>
        <v>34650.245334340412</v>
      </c>
      <c r="S502" s="4">
        <f t="shared" si="425"/>
        <v>1.5707674669703704</v>
      </c>
      <c r="T502" s="4" t="str">
        <f t="shared" si="413"/>
        <v>1+86,938043830593i</v>
      </c>
      <c r="U502" s="4">
        <f t="shared" si="426"/>
        <v>86.943794862486357</v>
      </c>
      <c r="V502" s="4">
        <f t="shared" si="427"/>
        <v>1.5592943898134894</v>
      </c>
      <c r="W502" t="str">
        <f t="shared" si="414"/>
        <v>1-17,297796737368i</v>
      </c>
      <c r="X502" s="4">
        <f t="shared" si="428"/>
        <v>17.326678041889593</v>
      </c>
      <c r="Y502" s="4">
        <f t="shared" si="429"/>
        <v>-1.5130497702221313</v>
      </c>
      <c r="Z502" t="str">
        <f t="shared" si="415"/>
        <v>-0,91452036929056+2,37657736639705i</v>
      </c>
      <c r="AA502" s="4">
        <f t="shared" si="430"/>
        <v>2.5464617578746558</v>
      </c>
      <c r="AB502" s="4">
        <f t="shared" si="431"/>
        <v>1.9381358860812719</v>
      </c>
      <c r="AC502" s="47" t="str">
        <f t="shared" si="432"/>
        <v>-0,88506414760419+0,294348420568025i</v>
      </c>
      <c r="AD502" s="20">
        <f t="shared" si="433"/>
        <v>-0.60490961875482008</v>
      </c>
      <c r="AE502" s="43">
        <f t="shared" si="434"/>
        <v>161.60426867861074</v>
      </c>
      <c r="AF502" t="str">
        <f t="shared" si="416"/>
        <v>171,265703090588</v>
      </c>
      <c r="AG502" t="str">
        <f t="shared" si="417"/>
        <v>1+34318,6418680227i</v>
      </c>
      <c r="AH502">
        <f t="shared" si="435"/>
        <v>34318.641882592041</v>
      </c>
      <c r="AI502">
        <f t="shared" si="436"/>
        <v>1.5707671881126737</v>
      </c>
      <c r="AJ502" t="str">
        <f t="shared" si="418"/>
        <v>1+86,938043830593i</v>
      </c>
      <c r="AK502">
        <f t="shared" si="437"/>
        <v>86.943794862486357</v>
      </c>
      <c r="AL502">
        <f t="shared" si="438"/>
        <v>1.5592943898134894</v>
      </c>
      <c r="AM502" t="str">
        <f t="shared" si="419"/>
        <v>1-5,4649715463152i</v>
      </c>
      <c r="AN502">
        <f t="shared" si="439"/>
        <v>5.5557100358131315</v>
      </c>
      <c r="AO502">
        <f t="shared" si="440"/>
        <v>-1.3898149636735244</v>
      </c>
      <c r="AP502" s="41" t="str">
        <f t="shared" si="441"/>
        <v>0,406657089625316-2,37601422652569i</v>
      </c>
      <c r="AQ502">
        <f t="shared" si="442"/>
        <v>7.6423694380131293</v>
      </c>
      <c r="AR502" s="43">
        <f t="shared" si="443"/>
        <v>-80.287874644368927</v>
      </c>
      <c r="AS502" t="str">
        <f t="shared" si="420"/>
        <v>-0,0000166666666666667</v>
      </c>
      <c r="AT502" t="str">
        <f t="shared" si="421"/>
        <v>0,00661598513550813i</v>
      </c>
      <c r="AU502">
        <f t="shared" si="444"/>
        <v>6.6159851355081303E-3</v>
      </c>
      <c r="AV502">
        <f t="shared" si="445"/>
        <v>1.5707963267948966</v>
      </c>
      <c r="AW502" t="str">
        <f t="shared" si="422"/>
        <v>1+20,7348948163635i</v>
      </c>
      <c r="AX502">
        <f t="shared" si="446"/>
        <v>20.75899475036443</v>
      </c>
      <c r="AY502">
        <f t="shared" si="447"/>
        <v>1.5226057871464715</v>
      </c>
      <c r="AZ502" t="str">
        <f t="shared" si="423"/>
        <v>1+1434,47772320478i</v>
      </c>
      <c r="BA502">
        <f t="shared" si="448"/>
        <v>1434.4780717636536</v>
      </c>
      <c r="BB502">
        <f t="shared" si="449"/>
        <v>1.5700992090761392</v>
      </c>
      <c r="BC502" s="41" t="str">
        <f t="shared" si="450"/>
        <v>-0,00826441287347883+0,173880882816329i</v>
      </c>
      <c r="BD502">
        <f t="shared" si="451"/>
        <v>-15.185163529718436</v>
      </c>
      <c r="BE502" s="43">
        <f t="shared" si="452"/>
        <v>92.721172631204013</v>
      </c>
      <c r="BF502" s="41" t="str">
        <f t="shared" si="453"/>
        <v>-0,0438670276886456-0,156328352210729i</v>
      </c>
      <c r="BG502" s="20">
        <f t="shared" si="454"/>
        <v>-15.790073148473247</v>
      </c>
      <c r="BH502" s="43">
        <f t="shared" si="455"/>
        <v>-105.67455869018522</v>
      </c>
      <c r="BI502" s="41" t="str">
        <f t="shared" si="460"/>
        <v>0,409782669205853+0,0903462563088367i</v>
      </c>
      <c r="BJ502" s="20">
        <f t="shared" si="456"/>
        <v>-7.542794091705308</v>
      </c>
      <c r="BK502" s="43">
        <f t="shared" si="461"/>
        <v>12.433297986835099</v>
      </c>
      <c r="BL502">
        <f t="shared" si="457"/>
        <v>-15.790073148473247</v>
      </c>
      <c r="BM502" s="43">
        <f t="shared" si="458"/>
        <v>-105.67455869018522</v>
      </c>
    </row>
    <row r="503" spans="14:65" x14ac:dyDescent="0.25">
      <c r="N503" s="9">
        <v>85</v>
      </c>
      <c r="O503" s="34">
        <f t="shared" si="459"/>
        <v>707945.78438413853</v>
      </c>
      <c r="P503" s="33" t="str">
        <f t="shared" si="411"/>
        <v>54,631621870174</v>
      </c>
      <c r="Q503" s="4" t="str">
        <f t="shared" si="412"/>
        <v>1+35457,3532166735i</v>
      </c>
      <c r="R503" s="4">
        <f t="shared" si="424"/>
        <v>35457.353230774948</v>
      </c>
      <c r="S503" s="4">
        <f t="shared" si="425"/>
        <v>1.5707681239001789</v>
      </c>
      <c r="T503" s="4" t="str">
        <f t="shared" si="413"/>
        <v>1+88,963091014443i</v>
      </c>
      <c r="U503" s="4">
        <f t="shared" si="426"/>
        <v>88.968711145233911</v>
      </c>
      <c r="V503" s="4">
        <f t="shared" si="427"/>
        <v>1.5595561835553113</v>
      </c>
      <c r="W503" t="str">
        <f t="shared" si="414"/>
        <v>1-17,7007141832456i</v>
      </c>
      <c r="X503" s="4">
        <f t="shared" si="428"/>
        <v>17.728939127791939</v>
      </c>
      <c r="Y503" s="4">
        <f t="shared" si="429"/>
        <v>-1.5143614207620493</v>
      </c>
      <c r="Z503" t="str">
        <f t="shared" si="415"/>
        <v>-1,0047489345091+2,43193496464716i</v>
      </c>
      <c r="AA503" s="4">
        <f t="shared" si="430"/>
        <v>2.631316798424423</v>
      </c>
      <c r="AB503" s="4">
        <f t="shared" si="431"/>
        <v>1.9625855051379408</v>
      </c>
      <c r="AC503" s="47" t="str">
        <f t="shared" si="432"/>
        <v>-0,868688533353325+0,313719936793377i</v>
      </c>
      <c r="AD503" s="20">
        <f t="shared" si="433"/>
        <v>-0.6903062074355184</v>
      </c>
      <c r="AE503" s="43">
        <f t="shared" si="434"/>
        <v>160.14321869303143</v>
      </c>
      <c r="AF503" t="str">
        <f t="shared" si="416"/>
        <v>171,265703090588</v>
      </c>
      <c r="AG503" t="str">
        <f t="shared" si="417"/>
        <v>1+35118,0257281405i</v>
      </c>
      <c r="AH503">
        <f t="shared" si="435"/>
        <v>35118.025742378202</v>
      </c>
      <c r="AI503">
        <f t="shared" si="436"/>
        <v>1.5707678513900583</v>
      </c>
      <c r="AJ503" t="str">
        <f t="shared" si="418"/>
        <v>1+88,963091014443i</v>
      </c>
      <c r="AK503">
        <f t="shared" si="437"/>
        <v>88.968711145233911</v>
      </c>
      <c r="AL503">
        <f t="shared" si="438"/>
        <v>1.5595561835553113</v>
      </c>
      <c r="AM503" t="str">
        <f t="shared" si="419"/>
        <v>1-5,59226708635807i</v>
      </c>
      <c r="AN503">
        <f t="shared" si="439"/>
        <v>5.6809727305421713</v>
      </c>
      <c r="AO503">
        <f t="shared" si="440"/>
        <v>-1.3938481853235909</v>
      </c>
      <c r="AP503" s="41" t="str">
        <f t="shared" si="441"/>
        <v>0,40665708309609-2,43112941395718i</v>
      </c>
      <c r="AQ503">
        <f t="shared" si="442"/>
        <v>7.8360062541937827</v>
      </c>
      <c r="AR503" s="43">
        <f t="shared" si="443"/>
        <v>-80.503999549243957</v>
      </c>
      <c r="AS503" t="str">
        <f t="shared" si="420"/>
        <v>-0,0000166666666666667</v>
      </c>
      <c r="AT503" t="str">
        <f t="shared" si="421"/>
        <v>0,00677009122619911i</v>
      </c>
      <c r="AU503">
        <f t="shared" si="444"/>
        <v>6.7700912261991096E-3</v>
      </c>
      <c r="AV503">
        <f t="shared" si="445"/>
        <v>1.5707963267948966</v>
      </c>
      <c r="AW503" t="str">
        <f t="shared" si="422"/>
        <v>1+21,2178725612633i</v>
      </c>
      <c r="AX503">
        <f t="shared" si="446"/>
        <v>21.241424529113154</v>
      </c>
      <c r="AY503">
        <f t="shared" si="447"/>
        <v>1.5237010976398639</v>
      </c>
      <c r="AZ503" t="str">
        <f t="shared" si="423"/>
        <v>1+1467,89100173831i</v>
      </c>
      <c r="BA503">
        <f t="shared" si="448"/>
        <v>1467.8913423630167</v>
      </c>
      <c r="BB503">
        <f t="shared" si="449"/>
        <v>1.5701150774077721</v>
      </c>
      <c r="BC503" s="41" t="str">
        <f t="shared" si="450"/>
        <v>-0,0078932774045382+0,16994036234457i</v>
      </c>
      <c r="BD503">
        <f t="shared" si="451"/>
        <v>-15.384710019102821</v>
      </c>
      <c r="BE503" s="43">
        <f t="shared" si="452"/>
        <v>92.659325151106742</v>
      </c>
      <c r="BF503" s="41" t="str">
        <f t="shared" si="453"/>
        <v>-0,0464568801614829-0,150101522611081i</v>
      </c>
      <c r="BG503" s="20">
        <f t="shared" si="454"/>
        <v>-16.075016226538359</v>
      </c>
      <c r="BH503" s="43">
        <f t="shared" si="455"/>
        <v>-107.19745615586187</v>
      </c>
      <c r="BI503" s="41" t="str">
        <f t="shared" si="460"/>
        <v>0,409937156349027+0,0882970309220319i</v>
      </c>
      <c r="BJ503" s="20">
        <f t="shared" si="456"/>
        <v>-7.5487037649090469</v>
      </c>
      <c r="BK503" s="43">
        <f t="shared" si="461"/>
        <v>12.155325601862812</v>
      </c>
      <c r="BL503">
        <f t="shared" si="457"/>
        <v>-16.075016226538359</v>
      </c>
      <c r="BM503" s="43">
        <f t="shared" si="458"/>
        <v>-107.19745615586187</v>
      </c>
    </row>
    <row r="504" spans="14:65" x14ac:dyDescent="0.25">
      <c r="N504" s="9">
        <v>86</v>
      </c>
      <c r="O504" s="34">
        <f t="shared" si="459"/>
        <v>724435.96007499192</v>
      </c>
      <c r="P504" s="33" t="str">
        <f t="shared" si="411"/>
        <v>54,631621870174</v>
      </c>
      <c r="Q504" s="4" t="str">
        <f t="shared" si="412"/>
        <v>1+36283,2610714455i</v>
      </c>
      <c r="R504" s="4">
        <f t="shared" si="424"/>
        <v>36283.261085225953</v>
      </c>
      <c r="S504" s="4">
        <f t="shared" si="425"/>
        <v>1.5707687658764395</v>
      </c>
      <c r="T504" s="4" t="str">
        <f t="shared" si="413"/>
        <v>1+91,0353076067146i</v>
      </c>
      <c r="U504" s="4">
        <f t="shared" si="426"/>
        <v>91.040799815517587</v>
      </c>
      <c r="V504" s="4">
        <f t="shared" si="427"/>
        <v>1.5598120196328684</v>
      </c>
      <c r="W504" t="str">
        <f t="shared" si="414"/>
        <v>1-18,1130167820798i</v>
      </c>
      <c r="X504" s="4">
        <f t="shared" si="428"/>
        <v>18.140600236703978</v>
      </c>
      <c r="Y504" s="4">
        <f t="shared" si="429"/>
        <v>-1.5156434023548104</v>
      </c>
      <c r="Z504" t="str">
        <f t="shared" si="415"/>
        <v>-1,09922984099911+2,48858200700598i</v>
      </c>
      <c r="AA504" s="4">
        <f t="shared" si="430"/>
        <v>2.72054160948456</v>
      </c>
      <c r="AB504" s="4">
        <f t="shared" si="431"/>
        <v>1.98673436121962</v>
      </c>
      <c r="AC504" s="47" t="str">
        <f t="shared" si="432"/>
        <v>-0,851617110566726+0,332018613714066i</v>
      </c>
      <c r="AD504" s="20">
        <f t="shared" si="433"/>
        <v>-0.78059750761523117</v>
      </c>
      <c r="AE504" s="43">
        <f t="shared" si="434"/>
        <v>158.70076056976467</v>
      </c>
      <c r="AF504" t="str">
        <f t="shared" si="416"/>
        <v>171,265703090588</v>
      </c>
      <c r="AG504" t="str">
        <f t="shared" si="417"/>
        <v>1+35936,0296303415i</v>
      </c>
      <c r="AH504">
        <f t="shared" si="435"/>
        <v>35936.029644255112</v>
      </c>
      <c r="AI504">
        <f t="shared" si="436"/>
        <v>1.5707684995694065</v>
      </c>
      <c r="AJ504" t="str">
        <f t="shared" si="418"/>
        <v>1+91,0353076067146i</v>
      </c>
      <c r="AK504">
        <f t="shared" si="437"/>
        <v>91.040799815517587</v>
      </c>
      <c r="AL504">
        <f t="shared" si="438"/>
        <v>1.5598120196328684</v>
      </c>
      <c r="AM504" t="str">
        <f t="shared" si="419"/>
        <v>1-5,72252772043254i</v>
      </c>
      <c r="AN504">
        <f t="shared" si="439"/>
        <v>5.8092446592581064</v>
      </c>
      <c r="AO504">
        <f t="shared" si="440"/>
        <v>-1.3977952291034279</v>
      </c>
      <c r="AP504" s="41" t="str">
        <f>(IMDIV(IMPRODUCT(AF504,AJ504,AM504),IMPRODUCT(AG504)))</f>
        <v>0,406657076860725-2,48753361838373i</v>
      </c>
      <c r="AQ504">
        <f t="shared" si="442"/>
        <v>8.029920815815462</v>
      </c>
      <c r="AR504" s="43">
        <f t="shared" si="443"/>
        <v>-80.715527309831785</v>
      </c>
      <c r="AS504" t="str">
        <f t="shared" si="420"/>
        <v>-0,0000166666666666667</v>
      </c>
      <c r="AT504" t="str">
        <f t="shared" si="421"/>
        <v>0,00692778690887098i</v>
      </c>
      <c r="AU504">
        <f t="shared" si="444"/>
        <v>6.9277869088709802E-3</v>
      </c>
      <c r="AV504">
        <f t="shared" si="445"/>
        <v>1.5707963267948966</v>
      </c>
      <c r="AW504" t="str">
        <f t="shared" si="422"/>
        <v>1+21,7121003030469i</v>
      </c>
      <c r="AX504">
        <f t="shared" si="446"/>
        <v>21.735116736966685</v>
      </c>
      <c r="AY504">
        <f t="shared" si="447"/>
        <v>1.524771585105404</v>
      </c>
      <c r="AZ504" t="str">
        <f t="shared" si="423"/>
        <v>1+1502,08257551079i</v>
      </c>
      <c r="BA504">
        <f t="shared" si="448"/>
        <v>1502.0829083819337</v>
      </c>
      <c r="BB504">
        <f t="shared" si="449"/>
        <v>1.5701305845324098</v>
      </c>
      <c r="BC504" s="41" t="str">
        <f t="shared" si="450"/>
        <v>-0,00753877340010622+0,166088374911402i</v>
      </c>
      <c r="BD504">
        <f t="shared" si="451"/>
        <v>-15.584276875595883</v>
      </c>
      <c r="BE504" s="43">
        <f t="shared" si="452"/>
        <v>92.598879230103748</v>
      </c>
      <c r="BF504" s="41" t="str">
        <f t="shared" si="453"/>
        <v>-0,04872428357189-0,143946715034179i</v>
      </c>
      <c r="BG504" s="20">
        <f t="shared" si="454"/>
        <v>-16.364874383211117</v>
      </c>
      <c r="BH504" s="43">
        <f t="shared" si="455"/>
        <v>-108.70036020013157</v>
      </c>
      <c r="BI504" s="41" t="str">
        <f t="shared" si="460"/>
        <v>0,410084720660831+0,0862939653161602i</v>
      </c>
      <c r="BJ504" s="20">
        <f t="shared" si="456"/>
        <v>-7.5543560597804156</v>
      </c>
      <c r="BK504" s="43">
        <f t="shared" si="461"/>
        <v>11.883351920271966</v>
      </c>
      <c r="BL504">
        <f t="shared" si="457"/>
        <v>-16.364874383211117</v>
      </c>
      <c r="BM504" s="43">
        <f t="shared" si="458"/>
        <v>-108.70036020013157</v>
      </c>
    </row>
    <row r="505" spans="14:65" x14ac:dyDescent="0.25">
      <c r="N505" s="9">
        <v>87</v>
      </c>
      <c r="O505" s="34">
        <f t="shared" si="459"/>
        <v>741310.24130091805</v>
      </c>
      <c r="P505" s="33" t="str">
        <f t="shared" si="411"/>
        <v>54,631621870174</v>
      </c>
      <c r="Q505" s="4" t="str">
        <f t="shared" si="412"/>
        <v>1+37128,4067915032i</v>
      </c>
      <c r="R505" s="4">
        <f t="shared" si="424"/>
        <v>37128.406804969971</v>
      </c>
      <c r="S505" s="4">
        <f t="shared" si="425"/>
        <v>1.5707693932395363</v>
      </c>
      <c r="T505" s="4" t="str">
        <f t="shared" si="413"/>
        <v>1+93,1557923240736i</v>
      </c>
      <c r="U505" s="4">
        <f t="shared" si="426"/>
        <v>93.16115952222755</v>
      </c>
      <c r="V505" s="4">
        <f t="shared" si="427"/>
        <v>1.5600620335597981</v>
      </c>
      <c r="W505" t="str">
        <f t="shared" si="414"/>
        <v>1-18,5349231421659i</v>
      </c>
      <c r="X505" s="4">
        <f t="shared" si="428"/>
        <v>18.561879643128737</v>
      </c>
      <c r="Y505" s="4">
        <f t="shared" si="429"/>
        <v>-1.5168963778592233</v>
      </c>
      <c r="Z505" t="str">
        <f t="shared" si="415"/>
        <v>-1,1981634954305+2,54654852848519i</v>
      </c>
      <c r="AA505" s="4">
        <f t="shared" si="430"/>
        <v>2.8143392065833712</v>
      </c>
      <c r="AB505" s="4">
        <f t="shared" si="431"/>
        <v>2.0105706600766471</v>
      </c>
      <c r="AC505" s="47" t="str">
        <f t="shared" si="432"/>
        <v>-0,833933131966732+0,349225956351622i</v>
      </c>
      <c r="AD505" s="20">
        <f t="shared" si="433"/>
        <v>-0.87563646674218276</v>
      </c>
      <c r="AE505" s="43">
        <f t="shared" si="434"/>
        <v>157.27753983538324</v>
      </c>
      <c r="AF505" t="str">
        <f t="shared" si="416"/>
        <v>171,265703090588</v>
      </c>
      <c r="AG505" t="str">
        <f t="shared" si="417"/>
        <v>1+36773,0872911219i</v>
      </c>
      <c r="AH505">
        <f t="shared" si="435"/>
        <v>36773.087304718792</v>
      </c>
      <c r="AI505">
        <f t="shared" si="436"/>
        <v>1.5707691329943914</v>
      </c>
      <c r="AJ505" t="str">
        <f t="shared" si="418"/>
        <v>1+93,1557923240736i</v>
      </c>
      <c r="AK505">
        <f t="shared" si="437"/>
        <v>93.16115952222755</v>
      </c>
      <c r="AL505">
        <f t="shared" si="438"/>
        <v>1.5600620335597981</v>
      </c>
      <c r="AM505" t="str">
        <f t="shared" si="419"/>
        <v>1-5,85582251445095i</v>
      </c>
      <c r="AN505">
        <f t="shared" si="439"/>
        <v>5.9405940208661496</v>
      </c>
      <c r="AO505">
        <f t="shared" si="440"/>
        <v>-1.4016576956107845</v>
      </c>
      <c r="AP505" s="41" t="str">
        <f t="shared" si="441"/>
        <v>0,406657070905997-2,54525674606111i</v>
      </c>
      <c r="AQ505">
        <f t="shared" si="442"/>
        <v>8.224101360890403</v>
      </c>
      <c r="AR505" s="43">
        <f t="shared" si="443"/>
        <v>-80.922541888959685</v>
      </c>
      <c r="AS505" t="str">
        <f t="shared" si="420"/>
        <v>-0,0000166666666666667</v>
      </c>
      <c r="AT505" t="str">
        <f t="shared" si="421"/>
        <v>0,007089155795862i</v>
      </c>
      <c r="AU505">
        <f t="shared" si="444"/>
        <v>7.0891557958620002E-3</v>
      </c>
      <c r="AV505">
        <f t="shared" si="445"/>
        <v>1.5707963267948966</v>
      </c>
      <c r="AW505" t="str">
        <f t="shared" si="422"/>
        <v>1+22,2178400878047i</v>
      </c>
      <c r="AX505">
        <f t="shared" si="446"/>
        <v>22.24033313975448</v>
      </c>
      <c r="AY505">
        <f t="shared" si="447"/>
        <v>1.525817807310389</v>
      </c>
      <c r="AZ505" t="str">
        <f t="shared" si="423"/>
        <v>1+1537,07057334721i</v>
      </c>
      <c r="BA505">
        <f t="shared" si="448"/>
        <v>1537.0708986412831</v>
      </c>
      <c r="BB505">
        <f t="shared" si="449"/>
        <v>1.5701457386721054</v>
      </c>
      <c r="BC505" s="41" t="str">
        <f t="shared" si="450"/>
        <v>-0,00720015867013787+0,162322982599733i</v>
      </c>
      <c r="BD505">
        <f t="shared" si="451"/>
        <v>-15.783863186410393</v>
      </c>
      <c r="BE505" s="43">
        <f t="shared" si="452"/>
        <v>92.539803381571957</v>
      </c>
      <c r="BF505" s="41" t="str">
        <f t="shared" si="453"/>
        <v>-0,050682947965794-0,137880995567039i</v>
      </c>
      <c r="BG505" s="20">
        <f t="shared" si="454"/>
        <v>-16.659499653152576</v>
      </c>
      <c r="BH505" s="43">
        <f t="shared" si="455"/>
        <v>-110.18265678304481</v>
      </c>
      <c r="BI505" s="41" t="str">
        <f t="shared" si="460"/>
        <v>0,410225671067874+0,0843360410726113i</v>
      </c>
      <c r="BJ505" s="20">
        <f t="shared" si="456"/>
        <v>-7.5597618255199865</v>
      </c>
      <c r="BK505" s="43">
        <f t="shared" si="461"/>
        <v>11.617261492612275</v>
      </c>
      <c r="BL505">
        <f t="shared" si="457"/>
        <v>-16.659499653152576</v>
      </c>
      <c r="BM505" s="43">
        <f t="shared" si="458"/>
        <v>-110.18265678304481</v>
      </c>
    </row>
    <row r="506" spans="14:65" x14ac:dyDescent="0.25">
      <c r="N506" s="9">
        <v>88</v>
      </c>
      <c r="O506" s="34">
        <f t="shared" si="459"/>
        <v>758577.57502918423</v>
      </c>
      <c r="P506" s="33" t="str">
        <f t="shared" si="411"/>
        <v>54,631621870174</v>
      </c>
      <c r="Q506" s="4" t="str">
        <f t="shared" si="412"/>
        <v>1+37993,2384842943i</v>
      </c>
      <c r="R506" s="4">
        <f t="shared" si="424"/>
        <v>37993.238497454535</v>
      </c>
      <c r="S506" s="4">
        <f t="shared" si="425"/>
        <v>1.5707700063221055</v>
      </c>
      <c r="T506" s="4" t="str">
        <f t="shared" si="413"/>
        <v>1+95,3256694755858i</v>
      </c>
      <c r="U506" s="4">
        <f t="shared" si="426"/>
        <v>95.330914508194184</v>
      </c>
      <c r="V506" s="4">
        <f t="shared" si="427"/>
        <v>1.5603063577717018</v>
      </c>
      <c r="W506" t="str">
        <f t="shared" si="414"/>
        <v>1-18,9666569638407i</v>
      </c>
      <c r="X506" s="4">
        <f t="shared" si="428"/>
        <v>18.993000720897342</v>
      </c>
      <c r="Y506" s="4">
        <f t="shared" si="429"/>
        <v>-1.518120995873721</v>
      </c>
      <c r="Z506" t="str">
        <f t="shared" si="415"/>
        <v>-1,30175974934864+2,60586526370176i</v>
      </c>
      <c r="AA506" s="4">
        <f t="shared" si="430"/>
        <v>2.9129215948239455</v>
      </c>
      <c r="AB506" s="4">
        <f t="shared" si="431"/>
        <v>2.0340837963307772</v>
      </c>
      <c r="AC506" s="47" t="str">
        <f t="shared" si="432"/>
        <v>-0,815718791549538+0,365330669076003i</v>
      </c>
      <c r="AD506" s="20">
        <f t="shared" si="433"/>
        <v>-0.9752734262306515</v>
      </c>
      <c r="AE506" s="43">
        <f t="shared" si="434"/>
        <v>155.87413454029038</v>
      </c>
      <c r="AF506" t="str">
        <f t="shared" si="416"/>
        <v>171,265703090588</v>
      </c>
      <c r="AG506" t="str">
        <f t="shared" si="417"/>
        <v>1+37629,6425295335i</v>
      </c>
      <c r="AH506">
        <f t="shared" si="435"/>
        <v>37629.642542820897</v>
      </c>
      <c r="AI506">
        <f t="shared" si="436"/>
        <v>1.5707697520008634</v>
      </c>
      <c r="AJ506" t="str">
        <f t="shared" si="418"/>
        <v>1+95,3256694755858i</v>
      </c>
      <c r="AK506">
        <f t="shared" si="437"/>
        <v>95.330914508194184</v>
      </c>
      <c r="AL506">
        <f t="shared" si="438"/>
        <v>1.5603063577717018</v>
      </c>
      <c r="AM506" t="str">
        <f t="shared" si="419"/>
        <v>1-5,99222214307753i</v>
      </c>
      <c r="AN506">
        <f t="shared" si="439"/>
        <v>6.075090634055484</v>
      </c>
      <c r="AO506">
        <f t="shared" si="440"/>
        <v>-1.4054371715639005</v>
      </c>
      <c r="AP506" s="41" t="str">
        <f t="shared" si="441"/>
        <v>0,406657065219276-2,60432940255572i</v>
      </c>
      <c r="AQ506">
        <f t="shared" si="442"/>
        <v>8.4185365945839195</v>
      </c>
      <c r="AR506" s="43">
        <f t="shared" si="443"/>
        <v>-81.125126630127852</v>
      </c>
      <c r="AS506" t="str">
        <f t="shared" si="420"/>
        <v>-0,0000166666666666667</v>
      </c>
      <c r="AT506" t="str">
        <f t="shared" si="421"/>
        <v>0,00725428344709208i</v>
      </c>
      <c r="AU506">
        <f t="shared" si="444"/>
        <v>7.2542834470920798E-3</v>
      </c>
      <c r="AV506">
        <f t="shared" si="445"/>
        <v>1.5707963267948966</v>
      </c>
      <c r="AW506" t="str">
        <f t="shared" si="422"/>
        <v>1+22,7353600654649i</v>
      </c>
      <c r="AX506">
        <f t="shared" si="446"/>
        <v>22.757341613341751</v>
      </c>
      <c r="AY506">
        <f t="shared" si="447"/>
        <v>1.5268403098090686</v>
      </c>
      <c r="AZ506" t="str">
        <f t="shared" si="423"/>
        <v>1+1572,87354634717i</v>
      </c>
      <c r="BA506">
        <f t="shared" si="448"/>
        <v>1572.8738642366475</v>
      </c>
      <c r="BB506">
        <f t="shared" si="449"/>
        <v>1.570160547861756</v>
      </c>
      <c r="BC506" s="41" t="str">
        <f t="shared" si="450"/>
        <v>-0,00687672387252956+0,158642286481873i</v>
      </c>
      <c r="BD506">
        <f t="shared" si="451"/>
        <v>-15.983468079500682</v>
      </c>
      <c r="BE506" s="43">
        <f t="shared" si="452"/>
        <v>92.482066807921015</v>
      </c>
      <c r="BF506" s="41" t="str">
        <f t="shared" si="453"/>
        <v>-0,0523474197770499-0,131919772351051i</v>
      </c>
      <c r="BG506" s="20">
        <f t="shared" si="454"/>
        <v>-16.958741505731343</v>
      </c>
      <c r="BH506" s="43">
        <f t="shared" si="455"/>
        <v>-111.64379865178863</v>
      </c>
      <c r="BI506" s="41" t="str">
        <f t="shared" si="460"/>
        <v>0,410360302825084+0,0824222608148797i</v>
      </c>
      <c r="BJ506" s="20">
        <f t="shared" si="456"/>
        <v>-7.5649314849167526</v>
      </c>
      <c r="BK506" s="43">
        <f t="shared" si="461"/>
        <v>11.356940177793167</v>
      </c>
      <c r="BL506">
        <f t="shared" si="457"/>
        <v>-16.958741505731343</v>
      </c>
      <c r="BM506" s="43">
        <f t="shared" si="458"/>
        <v>-111.64379865178863</v>
      </c>
    </row>
    <row r="507" spans="14:65" x14ac:dyDescent="0.25">
      <c r="N507" s="9">
        <v>89</v>
      </c>
      <c r="O507" s="34">
        <f t="shared" si="459"/>
        <v>776247.11662869214</v>
      </c>
      <c r="P507" s="33" t="str">
        <f t="shared" si="411"/>
        <v>54,631621870174</v>
      </c>
      <c r="Q507" s="4" t="str">
        <f t="shared" si="412"/>
        <v>1+38878,2146950299i</v>
      </c>
      <c r="R507" s="4">
        <f t="shared" si="424"/>
        <v>38878.214707890576</v>
      </c>
      <c r="S507" s="4">
        <f t="shared" si="425"/>
        <v>1.5707706054492119</v>
      </c>
      <c r="T507" s="4" t="str">
        <f t="shared" si="413"/>
        <v>1+97,5460895588384i</v>
      </c>
      <c r="U507" s="4">
        <f t="shared" si="426"/>
        <v>97.551215206274705</v>
      </c>
      <c r="V507" s="4">
        <f t="shared" si="427"/>
        <v>1.5605451216957649</v>
      </c>
      <c r="W507" t="str">
        <f t="shared" si="414"/>
        <v>1-19,4084471580912i</v>
      </c>
      <c r="X507" s="4">
        <f t="shared" si="428"/>
        <v>19.434192061632466</v>
      </c>
      <c r="Y507" s="4">
        <f t="shared" si="429"/>
        <v>-1.5193178910062823</v>
      </c>
      <c r="Z507" t="str">
        <f t="shared" si="415"/>
        <v>-1,41023834429744+2,66656366317385i</v>
      </c>
      <c r="AA507" s="4">
        <f t="shared" si="430"/>
        <v>3.0165102283078586</v>
      </c>
      <c r="AB507" s="4">
        <f t="shared" si="431"/>
        <v>2.0572643364994478</v>
      </c>
      <c r="AC507" s="47" t="str">
        <f t="shared" si="432"/>
        <v>-0,797054574213114+0,380328266466154i</v>
      </c>
      <c r="AD507" s="20">
        <f t="shared" si="433"/>
        <v>-1.0793569622651487</v>
      </c>
      <c r="AE507" s="43">
        <f t="shared" si="434"/>
        <v>154.49105621987084</v>
      </c>
      <c r="AF507" t="str">
        <f t="shared" si="416"/>
        <v>171,265703090588</v>
      </c>
      <c r="AG507" t="str">
        <f t="shared" si="417"/>
        <v>1+38506,1495025015i</v>
      </c>
      <c r="AH507">
        <f t="shared" si="435"/>
        <v>38506.149515486439</v>
      </c>
      <c r="AI507">
        <f t="shared" si="436"/>
        <v>1.5707703569170279</v>
      </c>
      <c r="AJ507" t="str">
        <f t="shared" si="418"/>
        <v>1+97,5460895588384i</v>
      </c>
      <c r="AK507">
        <f t="shared" si="437"/>
        <v>97.551215206274705</v>
      </c>
      <c r="AL507">
        <f t="shared" si="438"/>
        <v>1.5605451216957649</v>
      </c>
      <c r="AM507" t="str">
        <f t="shared" si="419"/>
        <v>1-6,1317989272008i</v>
      </c>
      <c r="AN507">
        <f t="shared" si="439"/>
        <v>6.2128059750503146</v>
      </c>
      <c r="AO507">
        <f t="shared" si="440"/>
        <v>-1.4091352287721639</v>
      </c>
      <c r="AP507" s="41" t="str">
        <f t="shared" si="441"/>
        <v>0,406657059788503-2,66478290897191i</v>
      </c>
      <c r="AQ507">
        <f t="shared" si="442"/>
        <v>8.6132156733195071</v>
      </c>
      <c r="AR507" s="43">
        <f t="shared" si="443"/>
        <v>-81.323364194553577</v>
      </c>
      <c r="AS507" t="str">
        <f t="shared" si="420"/>
        <v>-0,0000166666666666667</v>
      </c>
      <c r="AT507" t="str">
        <f t="shared" si="421"/>
        <v>0,0074232574154276i</v>
      </c>
      <c r="AU507">
        <f t="shared" si="444"/>
        <v>7.4232574154276003E-3</v>
      </c>
      <c r="AV507">
        <f t="shared" si="445"/>
        <v>1.5707963267948966</v>
      </c>
      <c r="AW507" t="str">
        <f t="shared" si="422"/>
        <v>1+23,26493463197i</v>
      </c>
      <c r="AX507">
        <f t="shared" si="446"/>
        <v>23.286416285676871</v>
      </c>
      <c r="AY507">
        <f t="shared" si="447"/>
        <v>1.52783962618863</v>
      </c>
      <c r="AZ507" t="str">
        <f t="shared" si="423"/>
        <v>1+1609,51047772083i</v>
      </c>
      <c r="BA507">
        <f t="shared" si="448"/>
        <v>1609.5107883742608</v>
      </c>
      <c r="BB507">
        <f t="shared" si="449"/>
        <v>1.5701750199533642</v>
      </c>
      <c r="BC507" s="41" t="str">
        <f t="shared" si="450"/>
        <v>-0,00656779108332288+0,155044426069713i</v>
      </c>
      <c r="BD507">
        <f t="shared" si="451"/>
        <v>-16.183090721759228</v>
      </c>
      <c r="BE507" s="43">
        <f t="shared" si="452"/>
        <v>92.42563938674374</v>
      </c>
      <c r="BF507" s="41" t="str">
        <f t="shared" si="453"/>
        <v>-0,0537328898668951-0,126076785602344i</v>
      </c>
      <c r="BG507" s="20">
        <f t="shared" si="454"/>
        <v>-17.262447684024366</v>
      </c>
      <c r="BH507" s="43">
        <f t="shared" si="455"/>
        <v>-113.08330439338538</v>
      </c>
      <c r="BI507" s="41" t="str">
        <f t="shared" si="460"/>
        <v>0,410488898110681+0,0805516478706423i</v>
      </c>
      <c r="BJ507" s="20">
        <f t="shared" si="456"/>
        <v>-7.5698750484397195</v>
      </c>
      <c r="BK507" s="43">
        <f t="shared" si="461"/>
        <v>11.102275192190158</v>
      </c>
      <c r="BL507">
        <f t="shared" si="457"/>
        <v>-17.262447684024366</v>
      </c>
      <c r="BM507" s="43">
        <f t="shared" si="458"/>
        <v>-113.08330439338538</v>
      </c>
    </row>
    <row r="508" spans="14:65" x14ac:dyDescent="0.25">
      <c r="N508" s="9">
        <v>90</v>
      </c>
      <c r="O508" s="34">
        <f t="shared" si="459"/>
        <v>794328.23472428333</v>
      </c>
      <c r="P508" s="33" t="str">
        <f t="shared" si="411"/>
        <v>54,631621870174</v>
      </c>
      <c r="Q508" s="4" t="str">
        <f t="shared" si="412"/>
        <v>1+39783,8046498108i</v>
      </c>
      <c r="R508" s="4">
        <f t="shared" si="424"/>
        <v>39783.804662378723</v>
      </c>
      <c r="S508" s="4">
        <f t="shared" si="425"/>
        <v>1.57077119093852</v>
      </c>
      <c r="T508" s="4" t="str">
        <f t="shared" si="413"/>
        <v>1+99,8182298699504i</v>
      </c>
      <c r="U508" s="4">
        <f t="shared" si="426"/>
        <v>99.823238849329357</v>
      </c>
      <c r="V508" s="4">
        <f t="shared" si="427"/>
        <v>1.5607784518188261</v>
      </c>
      <c r="W508" t="str">
        <f t="shared" si="414"/>
        <v>1-19,860527967926i</v>
      </c>
      <c r="X508" s="4">
        <f t="shared" si="428"/>
        <v>19.885687595976428</v>
      </c>
      <c r="Y508" s="4">
        <f t="shared" si="429"/>
        <v>-1.5204876841417938</v>
      </c>
      <c r="Z508" t="str">
        <f t="shared" si="415"/>
        <v>-1,52382937792079+2,72867590999631i</v>
      </c>
      <c r="AA508" s="4">
        <f t="shared" si="430"/>
        <v>3.1253364930529726</v>
      </c>
      <c r="AB508" s="4">
        <f t="shared" si="431"/>
        <v>2.0801039938618611</v>
      </c>
      <c r="AC508" s="47" t="str">
        <f t="shared" si="432"/>
        <v>-0,778018681312514+0,394220630314305i</v>
      </c>
      <c r="AD508" s="20">
        <f t="shared" si="433"/>
        <v>-1.1877346785194278</v>
      </c>
      <c r="AE508" s="43">
        <f t="shared" si="434"/>
        <v>153.12875132312985</v>
      </c>
      <c r="AF508" t="str">
        <f t="shared" si="416"/>
        <v>171,265703090588</v>
      </c>
      <c r="AG508" t="str">
        <f t="shared" si="417"/>
        <v>1+39403,0729456249i</v>
      </c>
      <c r="AH508">
        <f t="shared" si="435"/>
        <v>39403.072958314267</v>
      </c>
      <c r="AI508">
        <f t="shared" si="436"/>
        <v>1.5707709480636194</v>
      </c>
      <c r="AJ508" t="str">
        <f t="shared" si="418"/>
        <v>1+99,8182298699504i</v>
      </c>
      <c r="AK508">
        <f t="shared" si="437"/>
        <v>99.823238849329357</v>
      </c>
      <c r="AL508">
        <f t="shared" si="438"/>
        <v>1.5607784518188261</v>
      </c>
      <c r="AM508" t="str">
        <f t="shared" si="419"/>
        <v>1-6,27462687227924i</v>
      </c>
      <c r="AN508">
        <f t="shared" si="439"/>
        <v>6.3538132161977154</v>
      </c>
      <c r="AO508">
        <f t="shared" si="440"/>
        <v>-1.412753423203698</v>
      </c>
      <c r="AP508" s="41" t="str">
        <f t="shared" si="441"/>
        <v>0,406657054602152-2,72664931855902i</v>
      </c>
      <c r="AQ508">
        <f t="shared" si="442"/>
        <v>8.8081281891912226</v>
      </c>
      <c r="AR508" s="43">
        <f t="shared" si="443"/>
        <v>-81.517336503858346</v>
      </c>
      <c r="AS508" t="str">
        <f t="shared" si="420"/>
        <v>-0,0000166666666666667</v>
      </c>
      <c r="AT508" t="str">
        <f t="shared" si="421"/>
        <v>0,00759616729310322i</v>
      </c>
      <c r="AU508">
        <f t="shared" si="444"/>
        <v>7.5961672931032197E-3</v>
      </c>
      <c r="AV508">
        <f t="shared" si="445"/>
        <v>1.5707963267948966</v>
      </c>
      <c r="AW508" t="str">
        <f t="shared" si="422"/>
        <v>1+23,8068445747648i</v>
      </c>
      <c r="AX508">
        <f t="shared" si="446"/>
        <v>23.827837682152534</v>
      </c>
      <c r="AY508">
        <f t="shared" si="447"/>
        <v>1.5288162783116941</v>
      </c>
      <c r="AZ508" t="str">
        <f t="shared" si="423"/>
        <v>1+1647,00079285418i</v>
      </c>
      <c r="BA508">
        <f t="shared" si="448"/>
        <v>1647.0010964362764</v>
      </c>
      <c r="BB508">
        <f t="shared" si="449"/>
        <v>1.5701891626202005</v>
      </c>
      <c r="BC508" s="41" t="str">
        <f t="shared" si="450"/>
        <v>-0,00627271242702626+0,151527578755369i</v>
      </c>
      <c r="BD508">
        <f t="shared" si="451"/>
        <v>-16.382730317290129</v>
      </c>
      <c r="BE508" s="43">
        <f t="shared" si="452"/>
        <v>92.370491657160443</v>
      </c>
      <c r="BF508" s="41" t="str">
        <f t="shared" si="453"/>
        <v>-0,0548550101562145-0,120364119652493i</v>
      </c>
      <c r="BG508" s="20">
        <f t="shared" si="454"/>
        <v>-17.570464995809555</v>
      </c>
      <c r="BH508" s="43">
        <f t="shared" si="455"/>
        <v>-114.50075701970971</v>
      </c>
      <c r="BI508" s="41" t="str">
        <f t="shared" si="460"/>
        <v>0,410611726596284+0,0787232459323218i</v>
      </c>
      <c r="BJ508" s="20">
        <f t="shared" si="456"/>
        <v>-7.5746021280989142</v>
      </c>
      <c r="BK508" s="43">
        <f t="shared" si="461"/>
        <v>10.853155153302103</v>
      </c>
      <c r="BL508">
        <f t="shared" si="457"/>
        <v>-17.570464995809555</v>
      </c>
      <c r="BM508" s="43">
        <f t="shared" si="458"/>
        <v>-114.50075701970971</v>
      </c>
    </row>
    <row r="509" spans="14:65" x14ac:dyDescent="0.25">
      <c r="N509" s="9">
        <v>91</v>
      </c>
      <c r="O509" s="34">
        <f t="shared" si="459"/>
        <v>812830.51616410096</v>
      </c>
      <c r="P509" s="33" t="str">
        <f t="shared" si="411"/>
        <v>54,631621870174</v>
      </c>
      <c r="Q509" s="4" t="str">
        <f t="shared" si="412"/>
        <v>1+40710,4885044178i</v>
      </c>
      <c r="R509" s="4">
        <f t="shared" si="424"/>
        <v>40710.488516699646</v>
      </c>
      <c r="S509" s="4">
        <f t="shared" si="425"/>
        <v>1.5707717631004647</v>
      </c>
      <c r="T509" s="4" t="str">
        <f t="shared" si="413"/>
        <v>1+102,14329512779i</v>
      </c>
      <c r="U509" s="4">
        <f t="shared" si="426"/>
        <v>102.14819009440554</v>
      </c>
      <c r="V509" s="4">
        <f t="shared" si="427"/>
        <v>1.5610064717539212</v>
      </c>
      <c r="W509" t="str">
        <f t="shared" si="414"/>
        <v>1-20,3231390925746i</v>
      </c>
      <c r="X509" s="4">
        <f t="shared" si="428"/>
        <v>20.347726717649174</v>
      </c>
      <c r="Y509" s="4">
        <f t="shared" si="429"/>
        <v>-1.5216309827066816</v>
      </c>
      <c r="Z509" t="str">
        <f t="shared" si="415"/>
        <v>-1,6427737920304+2,79223493690453i</v>
      </c>
      <c r="AA509" s="4">
        <f t="shared" si="430"/>
        <v>3.2396422139878633</v>
      </c>
      <c r="AB509" s="4">
        <f t="shared" si="431"/>
        <v>2.10259559618886</v>
      </c>
      <c r="AC509" s="47" t="str">
        <f t="shared" si="432"/>
        <v>-0,758686534518583+0,40701552573896i</v>
      </c>
      <c r="AD509" s="20">
        <f t="shared" si="433"/>
        <v>-1.3002539454932838</v>
      </c>
      <c r="AE509" s="43">
        <f t="shared" si="434"/>
        <v>151.78760305027592</v>
      </c>
      <c r="AF509" t="str">
        <f t="shared" si="416"/>
        <v>171,265703090588</v>
      </c>
      <c r="AG509" t="str">
        <f t="shared" si="417"/>
        <v>1+40320,8884195853i</v>
      </c>
      <c r="AH509">
        <f t="shared" si="435"/>
        <v>40320.888431985819</v>
      </c>
      <c r="AI509">
        <f t="shared" si="436"/>
        <v>1.5707715257540715</v>
      </c>
      <c r="AJ509" t="str">
        <f t="shared" si="418"/>
        <v>1+102,14329512779i</v>
      </c>
      <c r="AK509">
        <f t="shared" si="437"/>
        <v>102.14819009440554</v>
      </c>
      <c r="AL509">
        <f t="shared" si="438"/>
        <v>1.5610064717539212</v>
      </c>
      <c r="AM509" t="str">
        <f t="shared" si="419"/>
        <v>1-6,42078170757985i</v>
      </c>
      <c r="AN509">
        <f t="shared" si="439"/>
        <v>6.4981872654142565</v>
      </c>
      <c r="AO509">
        <f t="shared" si="440"/>
        <v>-1.4162932941443624</v>
      </c>
      <c r="AP509" s="41" t="str">
        <f t="shared" si="441"/>
        <v>0,406657049649226-2,78996143370629i</v>
      </c>
      <c r="AQ509">
        <f t="shared" si="442"/>
        <v>9.003264154698341</v>
      </c>
      <c r="AR509" s="43">
        <f t="shared" si="443"/>
        <v>-81.707124688078466</v>
      </c>
      <c r="AS509" t="str">
        <f t="shared" si="420"/>
        <v>-0,0000166666666666667</v>
      </c>
      <c r="AT509" t="str">
        <f t="shared" si="421"/>
        <v>0,00777310475922479i</v>
      </c>
      <c r="AU509">
        <f t="shared" si="444"/>
        <v>7.7731047592247901E-3</v>
      </c>
      <c r="AV509">
        <f t="shared" si="445"/>
        <v>1.5707963267948966</v>
      </c>
      <c r="AW509" t="str">
        <f t="shared" si="422"/>
        <v>1+24,3613772216739i</v>
      </c>
      <c r="AX509">
        <f t="shared" si="446"/>
        <v>24.381892874358464</v>
      </c>
      <c r="AY509">
        <f t="shared" si="447"/>
        <v>1.5297707765552655</v>
      </c>
      <c r="AZ509" t="str">
        <f t="shared" si="423"/>
        <v>1+1685,36436960853i</v>
      </c>
      <c r="BA509">
        <f t="shared" si="448"/>
        <v>1685.3646662802557</v>
      </c>
      <c r="BB509">
        <f t="shared" si="449"/>
        <v>1.5702029833608711</v>
      </c>
      <c r="BC509" s="41" t="str">
        <f t="shared" si="450"/>
        <v>-0,00599086876471251+0,148089959243853i</v>
      </c>
      <c r="BD509">
        <f t="shared" si="451"/>
        <v>-16.582386105760541</v>
      </c>
      <c r="BE509" s="43">
        <f t="shared" si="452"/>
        <v>92.316594806361309</v>
      </c>
      <c r="BF509" s="41" t="str">
        <f t="shared" si="453"/>
        <v>-0,0557297211564426-0,11479223457562i</v>
      </c>
      <c r="BG509" s="20">
        <f t="shared" si="454"/>
        <v>-17.882640051253802</v>
      </c>
      <c r="BH509" s="43">
        <f t="shared" si="455"/>
        <v>-115.89580214336267</v>
      </c>
      <c r="BI509" s="41" t="str">
        <f t="shared" si="460"/>
        <v>0,410729045992792+0,0769361187167229i</v>
      </c>
      <c r="BJ509" s="20">
        <f t="shared" si="456"/>
        <v>-7.5791219510622119</v>
      </c>
      <c r="BK509" s="43">
        <f t="shared" si="461"/>
        <v>10.609470118282861</v>
      </c>
      <c r="BL509">
        <f t="shared" si="457"/>
        <v>-17.882640051253802</v>
      </c>
      <c r="BM509" s="43">
        <f t="shared" si="458"/>
        <v>-115.89580214336267</v>
      </c>
    </row>
    <row r="510" spans="14:65" x14ac:dyDescent="0.25">
      <c r="N510" s="9">
        <v>92</v>
      </c>
      <c r="O510" s="34">
        <f t="shared" si="459"/>
        <v>831763.77110267128</v>
      </c>
      <c r="P510" s="33" t="str">
        <f t="shared" si="411"/>
        <v>54,631621870174</v>
      </c>
      <c r="Q510" s="4" t="str">
        <f t="shared" si="412"/>
        <v>1+41658,7575988969i</v>
      </c>
      <c r="R510" s="4">
        <f t="shared" si="424"/>
        <v>41658.757610899171</v>
      </c>
      <c r="S510" s="4">
        <f t="shared" si="425"/>
        <v>1.5707723222384133</v>
      </c>
      <c r="T510" s="4" t="str">
        <f t="shared" si="413"/>
        <v>1+104,522518112732i</v>
      </c>
      <c r="U510" s="4">
        <f t="shared" si="426"/>
        <v>104.52730166146254</v>
      </c>
      <c r="V510" s="4">
        <f t="shared" si="427"/>
        <v>1.5612293023053398</v>
      </c>
      <c r="W510" t="str">
        <f t="shared" si="414"/>
        <v>1-20,7965258145786i</v>
      </c>
      <c r="X510" s="4">
        <f t="shared" si="428"/>
        <v>20.820554410400177</v>
      </c>
      <c r="Y510" s="4">
        <f t="shared" si="429"/>
        <v>-1.5227483809306541</v>
      </c>
      <c r="Z510" t="str">
        <f t="shared" si="415"/>
        <v>-1,76732388367576+2,85727444373589i</v>
      </c>
      <c r="AA510" s="4">
        <f t="shared" si="430"/>
        <v>3.3596801866601846</v>
      </c>
      <c r="AB510" s="4">
        <f t="shared" si="431"/>
        <v>2.1247330473730566</v>
      </c>
      <c r="AC510" s="47" t="str">
        <f t="shared" si="432"/>
        <v>-0,73913035832392+0,41872608879999i</v>
      </c>
      <c r="AD510" s="20">
        <f t="shared" si="433"/>
        <v>-1.4167625826180585</v>
      </c>
      <c r="AE510" s="43">
        <f t="shared" si="434"/>
        <v>150.46793353987371</v>
      </c>
      <c r="AF510" t="str">
        <f t="shared" si="416"/>
        <v>171,265703090588</v>
      </c>
      <c r="AG510" t="str">
        <f t="shared" si="417"/>
        <v>1+41260,0825622958i</v>
      </c>
      <c r="AH510">
        <f t="shared" si="435"/>
        <v>41260.082574414046</v>
      </c>
      <c r="AI510">
        <f t="shared" si="436"/>
        <v>1.5707720902946838</v>
      </c>
      <c r="AJ510" t="str">
        <f t="shared" si="418"/>
        <v>1+104,522518112732i</v>
      </c>
      <c r="AK510">
        <f t="shared" si="437"/>
        <v>104.52730166146254</v>
      </c>
      <c r="AL510">
        <f t="shared" si="438"/>
        <v>1.5612293023053398</v>
      </c>
      <c r="AM510" t="str">
        <f t="shared" si="419"/>
        <v>1-6,5703409263309i</v>
      </c>
      <c r="AN510">
        <f t="shared" si="439"/>
        <v>6.6460048065148722</v>
      </c>
      <c r="AO510">
        <f t="shared" si="440"/>
        <v>-1.4197563634428745</v>
      </c>
      <c r="AP510" s="41" t="str">
        <f t="shared" si="441"/>
        <v>0,406657044919217-2,85475282333514i</v>
      </c>
      <c r="AQ510">
        <f t="shared" si="442"/>
        <v>9.1986139878180175</v>
      </c>
      <c r="AR510" s="43">
        <f t="shared" si="443"/>
        <v>-81.892809038696029</v>
      </c>
      <c r="AS510" t="str">
        <f t="shared" si="420"/>
        <v>-0,0000166666666666667</v>
      </c>
      <c r="AT510" t="str">
        <f t="shared" si="421"/>
        <v>0,00795416362837889i</v>
      </c>
      <c r="AU510">
        <f t="shared" si="444"/>
        <v>7.9541636283788908E-3</v>
      </c>
      <c r="AV510">
        <f t="shared" si="445"/>
        <v>1.5707963267948966</v>
      </c>
      <c r="AW510" t="str">
        <f t="shared" si="422"/>
        <v>1+24,9288265932468i</v>
      </c>
      <c r="AX510">
        <f t="shared" si="446"/>
        <v>24.948875632303928</v>
      </c>
      <c r="AY510">
        <f t="shared" si="447"/>
        <v>1.5307036200460884</v>
      </c>
      <c r="AZ510" t="str">
        <f t="shared" si="423"/>
        <v>1+1724,62154886007i</v>
      </c>
      <c r="BA510">
        <f t="shared" si="448"/>
        <v>1724.6218387787239</v>
      </c>
      <c r="BB510">
        <f t="shared" si="449"/>
        <v>1.5702164895032946</v>
      </c>
      <c r="BC510" s="41" t="str">
        <f t="shared" si="450"/>
        <v>-0,00572166843763191+0,144729818979377i</v>
      </c>
      <c r="BD510">
        <f t="shared" si="451"/>
        <v>-16.782057360821906</v>
      </c>
      <c r="BE510" s="43">
        <f t="shared" si="452"/>
        <v>92.263920656349285</v>
      </c>
      <c r="BF510" s="41" t="str">
        <f t="shared" si="453"/>
        <v>-0,0563730921914476-0,109370014808683i</v>
      </c>
      <c r="BG510" s="20">
        <f t="shared" si="454"/>
        <v>-18.198819943439961</v>
      </c>
      <c r="BH510" s="43">
        <f t="shared" si="455"/>
        <v>-117.268145803777</v>
      </c>
      <c r="BI510" s="41" t="str">
        <f t="shared" si="460"/>
        <v>0,410841102573305+0,0751893496243639i</v>
      </c>
      <c r="BJ510" s="20">
        <f t="shared" si="456"/>
        <v>-7.5834433730038944</v>
      </c>
      <c r="BK510" s="43">
        <f t="shared" si="461"/>
        <v>10.371111617653275</v>
      </c>
      <c r="BL510">
        <f t="shared" si="457"/>
        <v>-18.198819943439961</v>
      </c>
      <c r="BM510" s="43">
        <f t="shared" si="458"/>
        <v>-117.268145803777</v>
      </c>
    </row>
    <row r="511" spans="14:65" x14ac:dyDescent="0.25">
      <c r="N511" s="9">
        <v>93</v>
      </c>
      <c r="O511" s="34">
        <f t="shared" si="459"/>
        <v>851138.03820237669</v>
      </c>
      <c r="P511" s="33" t="str">
        <f t="shared" si="411"/>
        <v>54,631621870174</v>
      </c>
      <c r="Q511" s="4" t="str">
        <f t="shared" si="412"/>
        <v>1+42629,1147180738i</v>
      </c>
      <c r="R511" s="4">
        <f t="shared" si="424"/>
        <v>42629.114729802874</v>
      </c>
      <c r="S511" s="4">
        <f t="shared" si="425"/>
        <v>1.5707728686488285</v>
      </c>
      <c r="T511" s="4" t="str">
        <f t="shared" si="413"/>
        <v>1+106,957160320297i</v>
      </c>
      <c r="U511" s="4">
        <f t="shared" si="426"/>
        <v>106.96183498697896</v>
      </c>
      <c r="V511" s="4">
        <f t="shared" si="427"/>
        <v>1.5614470615322249</v>
      </c>
      <c r="W511" t="str">
        <f t="shared" si="414"/>
        <v>1-21,2809391298441i</v>
      </c>
      <c r="X511" s="4">
        <f t="shared" si="428"/>
        <v>21.304421377923639</v>
      </c>
      <c r="Y511" s="4">
        <f t="shared" si="429"/>
        <v>-1.5238404601054203</v>
      </c>
      <c r="Z511" t="str">
        <f t="shared" si="415"/>
        <v>-1,89774384029997+2,92382891529783i</v>
      </c>
      <c r="AA511" s="4">
        <f t="shared" si="430"/>
        <v>3.4857147343591048</v>
      </c>
      <c r="AB511" s="4">
        <f t="shared" si="431"/>
        <v>2.1465112839851446</v>
      </c>
      <c r="AC511" s="47" t="str">
        <f t="shared" si="432"/>
        <v>-0,719418839765048+0,429370297161855i</v>
      </c>
      <c r="AD511" s="20">
        <f t="shared" si="433"/>
        <v>-1.5371094806342669</v>
      </c>
      <c r="AE511" s="43">
        <f t="shared" si="434"/>
        <v>149.17000634679542</v>
      </c>
      <c r="AF511" t="str">
        <f t="shared" si="416"/>
        <v>171,265703090588</v>
      </c>
      <c r="AG511" t="str">
        <f t="shared" si="417"/>
        <v>1+42221,1533469226i</v>
      </c>
      <c r="AH511">
        <f t="shared" si="435"/>
        <v>42221.153358764997</v>
      </c>
      <c r="AI511">
        <f t="shared" si="436"/>
        <v>1.5707726419847827</v>
      </c>
      <c r="AJ511" t="str">
        <f t="shared" si="418"/>
        <v>1+106,957160320297i</v>
      </c>
      <c r="AK511">
        <f t="shared" si="437"/>
        <v>106.96183498697896</v>
      </c>
      <c r="AL511">
        <f t="shared" si="438"/>
        <v>1.5614470615322249</v>
      </c>
      <c r="AM511" t="str">
        <f t="shared" si="419"/>
        <v>1-6,72338382680984i</v>
      </c>
      <c r="AN511">
        <f t="shared" si="439"/>
        <v>6.7973443404470943</v>
      </c>
      <c r="AO511">
        <f t="shared" si="440"/>
        <v>-1.4231441348369382</v>
      </c>
      <c r="AP511" s="41" t="str">
        <f t="shared" si="441"/>
        <v>0,406657040402096-2,92105784069809i</v>
      </c>
      <c r="AQ511">
        <f t="shared" si="442"/>
        <v>9.3941684974277422</v>
      </c>
      <c r="AR511" s="43">
        <f t="shared" si="443"/>
        <v>-82.074468966394775</v>
      </c>
      <c r="AS511" t="str">
        <f t="shared" si="420"/>
        <v>-0,0000166666666666667</v>
      </c>
      <c r="AT511" t="str">
        <f t="shared" si="421"/>
        <v>0,00813943990037457i</v>
      </c>
      <c r="AU511">
        <f t="shared" si="444"/>
        <v>8.1394399003745701E-3</v>
      </c>
      <c r="AV511">
        <f t="shared" si="445"/>
        <v>1.5707963267948966</v>
      </c>
      <c r="AW511" t="str">
        <f t="shared" si="422"/>
        <v>1+25,5094935586515i</v>
      </c>
      <c r="AX511">
        <f t="shared" si="446"/>
        <v>25.529086580190882</v>
      </c>
      <c r="AY511">
        <f t="shared" si="447"/>
        <v>1.5316152968923662</v>
      </c>
      <c r="AZ511" t="str">
        <f t="shared" si="423"/>
        <v>1+1764,79314528489i</v>
      </c>
      <c r="BA511">
        <f t="shared" si="448"/>
        <v>1764.7934286041905</v>
      </c>
      <c r="BB511">
        <f t="shared" si="449"/>
        <v>1.5702296882085867</v>
      </c>
      <c r="BC511" s="41" t="str">
        <f t="shared" si="450"/>
        <v>-0,00546454606414556+0,141445445566623i</v>
      </c>
      <c r="BD511">
        <f t="shared" si="451"/>
        <v>-16.981743388601423</v>
      </c>
      <c r="BE511" s="43">
        <f t="shared" si="452"/>
        <v>92.212441650886063</v>
      </c>
      <c r="BF511" s="41" t="str">
        <f t="shared" si="453"/>
        <v>-0,0568011756058216-0,104104832107007i</v>
      </c>
      <c r="BG511" s="20">
        <f t="shared" si="454"/>
        <v>-18.51885286923569</v>
      </c>
      <c r="BH511" s="43">
        <f t="shared" si="455"/>
        <v>-118.61755200231849</v>
      </c>
      <c r="BI511" s="41" t="str">
        <f t="shared" si="460"/>
        <v>0,410948131673833+0,073482041399007i</v>
      </c>
      <c r="BJ511" s="20">
        <f t="shared" si="456"/>
        <v>-7.5875748911736762</v>
      </c>
      <c r="BK511" s="43">
        <f t="shared" si="461"/>
        <v>10.13797268449129</v>
      </c>
      <c r="BL511">
        <f t="shared" si="457"/>
        <v>-18.51885286923569</v>
      </c>
      <c r="BM511" s="43">
        <f t="shared" si="458"/>
        <v>-118.61755200231849</v>
      </c>
    </row>
    <row r="512" spans="14:65" x14ac:dyDescent="0.25">
      <c r="N512" s="9">
        <v>94</v>
      </c>
      <c r="O512" s="34">
        <f t="shared" si="459"/>
        <v>870963.58995608077</v>
      </c>
      <c r="P512" s="33" t="str">
        <f t="shared" si="411"/>
        <v>54,631621870174</v>
      </c>
      <c r="Q512" s="4" t="str">
        <f t="shared" si="412"/>
        <v>1+43622,0743581373i</v>
      </c>
      <c r="R512" s="4">
        <f t="shared" si="424"/>
        <v>43622.074369599381</v>
      </c>
      <c r="S512" s="4">
        <f t="shared" si="425"/>
        <v>1.570773402621424</v>
      </c>
      <c r="T512" s="4" t="str">
        <f t="shared" si="413"/>
        <v>1+109,448512630009i</v>
      </c>
      <c r="U512" s="4">
        <f t="shared" si="426"/>
        <v>109.45308089277907</v>
      </c>
      <c r="V512" s="4">
        <f t="shared" si="427"/>
        <v>1.5616598648107456</v>
      </c>
      <c r="W512" t="str">
        <f t="shared" si="414"/>
        <v>1-21,7766358807228i</v>
      </c>
      <c r="X512" s="4">
        <f t="shared" si="428"/>
        <v>21.799584176804466</v>
      </c>
      <c r="Y512" s="4">
        <f t="shared" si="429"/>
        <v>-1.5249077888402582</v>
      </c>
      <c r="Z512" t="str">
        <f t="shared" si="415"/>
        <v>-2,03431030011674+2,9919336396521i</v>
      </c>
      <c r="AA512" s="4">
        <f t="shared" si="430"/>
        <v>3.6180222914242699</v>
      </c>
      <c r="AB512" s="4">
        <f t="shared" si="431"/>
        <v>2.1679262277509901</v>
      </c>
      <c r="AC512" s="47" t="str">
        <f t="shared" si="432"/>
        <v>-0,69961686243399+0,438970434297421i</v>
      </c>
      <c r="AD512" s="20">
        <f t="shared" si="433"/>
        <v>-1.661145162994859</v>
      </c>
      <c r="AE512" s="43">
        <f t="shared" si="434"/>
        <v>147.89402915399279</v>
      </c>
      <c r="AF512" t="str">
        <f t="shared" si="416"/>
        <v>171,265703090588</v>
      </c>
      <c r="AG512" t="str">
        <f t="shared" si="417"/>
        <v>1+43204,610345917i</v>
      </c>
      <c r="AH512">
        <f t="shared" si="435"/>
        <v>43204.610357489837</v>
      </c>
      <c r="AI512">
        <f t="shared" si="436"/>
        <v>1.5707731811168819</v>
      </c>
      <c r="AJ512" t="str">
        <f t="shared" si="418"/>
        <v>1+109,448512630009i</v>
      </c>
      <c r="AK512">
        <f t="shared" si="437"/>
        <v>109.45308089277907</v>
      </c>
      <c r="AL512">
        <f t="shared" si="438"/>
        <v>1.5616598648107456</v>
      </c>
      <c r="AM512" t="str">
        <f t="shared" si="419"/>
        <v>1-6,87999155438827i</v>
      </c>
      <c r="AN512">
        <f t="shared" si="439"/>
        <v>6.952286227454529</v>
      </c>
      <c r="AO512">
        <f t="shared" si="440"/>
        <v>-1.4264580933554716</v>
      </c>
      <c r="AP512" s="41" t="str">
        <f t="shared" si="441"/>
        <v>0,406657036088279-2,98891164159294i</v>
      </c>
      <c r="AQ512">
        <f t="shared" si="442"/>
        <v>9.5899188690842081</v>
      </c>
      <c r="AR512" s="43">
        <f t="shared" si="443"/>
        <v>-82.25218296325626</v>
      </c>
      <c r="AS512" t="str">
        <f t="shared" si="420"/>
        <v>-0,0000166666666666667</v>
      </c>
      <c r="AT512" t="str">
        <f t="shared" si="421"/>
        <v>0,00832903181114366i</v>
      </c>
      <c r="AU512">
        <f t="shared" si="444"/>
        <v>8.3290318111436598E-3</v>
      </c>
      <c r="AV512">
        <f t="shared" si="445"/>
        <v>1.5707963267948966</v>
      </c>
      <c r="AW512" t="str">
        <f t="shared" si="422"/>
        <v>1+26,1036859951992i</v>
      </c>
      <c r="AX512">
        <f t="shared" si="446"/>
        <v>26.122833355820323</v>
      </c>
      <c r="AY512">
        <f t="shared" si="447"/>
        <v>1.5325062844118171</v>
      </c>
      <c r="AZ512" t="str">
        <f t="shared" si="423"/>
        <v>1+1805,90045839514i</v>
      </c>
      <c r="BA512">
        <f t="shared" si="448"/>
        <v>1805.9007352653073</v>
      </c>
      <c r="BB512">
        <f t="shared" si="449"/>
        <v>1.5702425864748575</v>
      </c>
      <c r="BC512" s="41" t="str">
        <f t="shared" si="450"/>
        <v>-0,00521896138786146+0,138235162188294i</v>
      </c>
      <c r="BD512">
        <f t="shared" si="451"/>
        <v>-17.18144352625913</v>
      </c>
      <c r="BE512" s="43">
        <f t="shared" si="452"/>
        <v>92.162130842643037</v>
      </c>
      <c r="BF512" s="41" t="str">
        <f t="shared" si="453"/>
        <v>-0,0570298757896301-0,099002620195239i</v>
      </c>
      <c r="BG512" s="20">
        <f t="shared" si="454"/>
        <v>-18.842588689253986</v>
      </c>
      <c r="BH512" s="43">
        <f t="shared" si="455"/>
        <v>-119.9438400033642</v>
      </c>
      <c r="BI512" s="41" t="str">
        <f t="shared" si="460"/>
        <v>0,411050358172633+0,0718133157878773i</v>
      </c>
      <c r="BJ512" s="20">
        <f t="shared" si="456"/>
        <v>-7.5915246571749284</v>
      </c>
      <c r="BK512" s="43">
        <f t="shared" si="461"/>
        <v>9.909947879386781</v>
      </c>
      <c r="BL512">
        <f t="shared" si="457"/>
        <v>-18.842588689253986</v>
      </c>
      <c r="BM512" s="43">
        <f t="shared" si="458"/>
        <v>-119.9438400033642</v>
      </c>
    </row>
    <row r="513" spans="14:65" x14ac:dyDescent="0.25">
      <c r="N513" s="9">
        <v>95</v>
      </c>
      <c r="O513" s="34">
        <f t="shared" si="459"/>
        <v>891250.93813374708</v>
      </c>
      <c r="P513" s="33" t="str">
        <f t="shared" si="411"/>
        <v>54,631621870174</v>
      </c>
      <c r="Q513" s="4" t="str">
        <f t="shared" si="412"/>
        <v>1+44638,1629994319i</v>
      </c>
      <c r="R513" s="4">
        <f t="shared" si="424"/>
        <v>44638.16301063307</v>
      </c>
      <c r="S513" s="4">
        <f t="shared" si="425"/>
        <v>1.5707739244393193</v>
      </c>
      <c r="T513" s="4" t="str">
        <f t="shared" si="413"/>
        <v>1+111,99789598984i</v>
      </c>
      <c r="U513" s="4">
        <f t="shared" si="426"/>
        <v>112.00236027044707</v>
      </c>
      <c r="V513" s="4">
        <f t="shared" si="427"/>
        <v>1.5618678248948779</v>
      </c>
      <c r="W513" t="str">
        <f t="shared" si="414"/>
        <v>1-22,2838788921933i</v>
      </c>
      <c r="X513" s="4">
        <f t="shared" si="428"/>
        <v>22.306305352566525</v>
      </c>
      <c r="Y513" s="4">
        <f t="shared" si="429"/>
        <v>-1.5259509233143311</v>
      </c>
      <c r="Z513" t="str">
        <f t="shared" si="415"/>
        <v>-2,17731293889714+3,06162472682505i</v>
      </c>
      <c r="AA513" s="4">
        <f t="shared" si="430"/>
        <v>3.7568920135925477</v>
      </c>
      <c r="AB513" s="4">
        <f t="shared" si="431"/>
        <v>2.1889747348953321</v>
      </c>
      <c r="AC513" s="47" t="str">
        <f t="shared" si="432"/>
        <v>-0,679785310646061+0,447552556532528i</v>
      </c>
      <c r="AD513" s="20">
        <f t="shared" si="433"/>
        <v>-1.7887222861596586</v>
      </c>
      <c r="AE513" s="43">
        <f t="shared" si="434"/>
        <v>146.64015666390711</v>
      </c>
      <c r="AF513" t="str">
        <f t="shared" si="416"/>
        <v>171,265703090588</v>
      </c>
      <c r="AG513" t="str">
        <f t="shared" si="417"/>
        <v>1+44210,9750011975i</v>
      </c>
      <c r="AH513">
        <f t="shared" si="435"/>
        <v>44210.975012506911</v>
      </c>
      <c r="AI513">
        <f t="shared" si="436"/>
        <v>1.570773707976836</v>
      </c>
      <c r="AJ513" t="str">
        <f t="shared" si="418"/>
        <v>1+111,99789598984i</v>
      </c>
      <c r="AK513">
        <f t="shared" si="437"/>
        <v>112.00236027044707</v>
      </c>
      <c r="AL513">
        <f t="shared" si="438"/>
        <v>1.5618678248948779</v>
      </c>
      <c r="AM513" t="str">
        <f t="shared" si="419"/>
        <v>1-7,0402471445563i</v>
      </c>
      <c r="AN513">
        <f t="shared" si="439"/>
        <v>7.1109127301938635</v>
      </c>
      <c r="AO513">
        <f t="shared" si="440"/>
        <v>-1.4296997047922251</v>
      </c>
      <c r="AP513" s="41" t="str">
        <f t="shared" si="441"/>
        <v>0,406657031968615-3,05835020300307i</v>
      </c>
      <c r="AQ513">
        <f t="shared" si="442"/>
        <v>9.785856651169329</v>
      </c>
      <c r="AR513" s="43">
        <f t="shared" si="443"/>
        <v>-82.426028569127368</v>
      </c>
      <c r="AS513" t="str">
        <f t="shared" si="420"/>
        <v>-0,0000166666666666667</v>
      </c>
      <c r="AT513" t="str">
        <f t="shared" si="421"/>
        <v>0,0085230398848268i</v>
      </c>
      <c r="AU513">
        <f t="shared" si="444"/>
        <v>8.5230398848268E-3</v>
      </c>
      <c r="AV513">
        <f t="shared" si="445"/>
        <v>1.5707963267948966</v>
      </c>
      <c r="AW513" t="str">
        <f t="shared" si="422"/>
        <v>1+26,7117189515846i</v>
      </c>
      <c r="AX513">
        <f t="shared" si="446"/>
        <v>26.730430773716385</v>
      </c>
      <c r="AY513">
        <f t="shared" si="447"/>
        <v>1.533377049356043</v>
      </c>
      <c r="AZ513" t="str">
        <f t="shared" si="423"/>
        <v>1+1847,96528383235i</v>
      </c>
      <c r="BA513">
        <f t="shared" si="448"/>
        <v>1847.9655544001837</v>
      </c>
      <c r="BB513">
        <f t="shared" si="449"/>
        <v>1.570255191140921</v>
      </c>
      <c r="BC513" s="41" t="str">
        <f t="shared" si="450"/>
        <v>-0,00498439817492369+0,135097327020114i</v>
      </c>
      <c r="BD513">
        <f t="shared" si="451"/>
        <v>-17.381157140608568</v>
      </c>
      <c r="BE513" s="43">
        <f t="shared" si="452"/>
        <v>92.112961880558558</v>
      </c>
      <c r="BF513" s="41" t="str">
        <f t="shared" si="453"/>
        <v>-0,0570748334268388-0,0940679585617838i</v>
      </c>
      <c r="BG513" s="20">
        <f t="shared" si="454"/>
        <v>-19.169879426768233</v>
      </c>
      <c r="BH513" s="43">
        <f t="shared" si="455"/>
        <v>-121.24688145553431</v>
      </c>
      <c r="BI513" s="41" t="str">
        <f t="shared" si="460"/>
        <v>0,411147996949174+0,0701823132030189i</v>
      </c>
      <c r="BJ513" s="20">
        <f t="shared" si="456"/>
        <v>-7.5953004894392331</v>
      </c>
      <c r="BK513" s="43">
        <f t="shared" si="461"/>
        <v>9.6869333114311882</v>
      </c>
      <c r="BL513">
        <f t="shared" si="457"/>
        <v>-19.169879426768233</v>
      </c>
      <c r="BM513" s="43">
        <f t="shared" si="458"/>
        <v>-121.24688145553431</v>
      </c>
    </row>
    <row r="514" spans="14:65" x14ac:dyDescent="0.25">
      <c r="N514" s="9">
        <v>96</v>
      </c>
      <c r="O514" s="34">
        <f t="shared" si="459"/>
        <v>912010.83935591124</v>
      </c>
      <c r="P514" s="33" t="str">
        <f t="shared" si="411"/>
        <v>54,631621870174</v>
      </c>
      <c r="Q514" s="4" t="str">
        <f t="shared" si="412"/>
        <v>1+45677,9193856047i</v>
      </c>
      <c r="R514" s="4">
        <f t="shared" si="424"/>
        <v>45677.919396550911</v>
      </c>
      <c r="S514" s="4">
        <f t="shared" si="425"/>
        <v>1.5707744343791892</v>
      </c>
      <c r="T514" s="4" t="str">
        <f t="shared" si="413"/>
        <v>1+114,606662116592i</v>
      </c>
      <c r="U514" s="4">
        <f t="shared" si="426"/>
        <v>114.61102478167922</v>
      </c>
      <c r="V514" s="4">
        <f t="shared" si="427"/>
        <v>1.5620710519758201</v>
      </c>
      <c r="W514" t="str">
        <f t="shared" si="414"/>
        <v>1-22,8029371112144i</v>
      </c>
      <c r="X514" s="4">
        <f t="shared" si="428"/>
        <v>22.82485357889507</v>
      </c>
      <c r="Y514" s="4">
        <f t="shared" si="429"/>
        <v>-1.5269704075256538</v>
      </c>
      <c r="Z514" t="str">
        <f t="shared" si="415"/>
        <v>-2,3270550844107+3,13293912795355i</v>
      </c>
      <c r="AA514" s="4">
        <f t="shared" si="430"/>
        <v>3.9026264163181232</v>
      </c>
      <c r="AB514" s="4">
        <f t="shared" si="431"/>
        <v>2.2096545432359114</v>
      </c>
      <c r="AC514" s="47" t="str">
        <f t="shared" si="432"/>
        <v>-0,659980938707908+0,455145970962169i</v>
      </c>
      <c r="AD514" s="20">
        <f t="shared" si="433"/>
        <v>-1.9196960796156626</v>
      </c>
      <c r="AE514" s="43">
        <f t="shared" si="434"/>
        <v>145.40849361888164</v>
      </c>
      <c r="AF514" t="str">
        <f t="shared" si="416"/>
        <v>171,265703090588</v>
      </c>
      <c r="AG514" t="str">
        <f t="shared" si="417"/>
        <v>1+45240,780900625i</v>
      </c>
      <c r="AH514">
        <f t="shared" si="435"/>
        <v>45240.780911676979</v>
      </c>
      <c r="AI514">
        <f t="shared" si="436"/>
        <v>1.5707742228439936</v>
      </c>
      <c r="AJ514" t="str">
        <f t="shared" si="418"/>
        <v>1+114,606662116592i</v>
      </c>
      <c r="AK514">
        <f t="shared" si="437"/>
        <v>114.61102478167922</v>
      </c>
      <c r="AL514">
        <f t="shared" si="438"/>
        <v>1.5620710519758201</v>
      </c>
      <c r="AM514" t="str">
        <f t="shared" si="419"/>
        <v>1-7,20423556694905i</v>
      </c>
      <c r="AN514">
        <f t="shared" si="439"/>
        <v>7.2733080578299241</v>
      </c>
      <c r="AO514">
        <f t="shared" si="440"/>
        <v>-1.4328704152462823</v>
      </c>
      <c r="AP514" s="41" t="str">
        <f t="shared" si="441"/>
        <v>0,406657028034364-3,12941034217287i</v>
      </c>
      <c r="AQ514">
        <f t="shared" si="442"/>
        <v>9.9819737414057137</v>
      </c>
      <c r="AR514" s="43">
        <f t="shared" si="443"/>
        <v>-82.596082341897286</v>
      </c>
      <c r="AS514" t="str">
        <f t="shared" si="420"/>
        <v>-0,0000166666666666667</v>
      </c>
      <c r="AT514" t="str">
        <f t="shared" si="421"/>
        <v>0,00872156698707263i</v>
      </c>
      <c r="AU514">
        <f t="shared" si="444"/>
        <v>8.7215669870726303E-3</v>
      </c>
      <c r="AV514">
        <f t="shared" si="445"/>
        <v>1.5707963267948966</v>
      </c>
      <c r="AW514" t="str">
        <f t="shared" si="422"/>
        <v>1+27,3339148149295i</v>
      </c>
      <c r="AX514">
        <f t="shared" si="446"/>
        <v>27.352200992055874</v>
      </c>
      <c r="AY514">
        <f t="shared" si="447"/>
        <v>1.534228048131197</v>
      </c>
      <c r="AZ514" t="str">
        <f t="shared" si="423"/>
        <v>1+1891,00992492376i</v>
      </c>
      <c r="BA514">
        <f t="shared" si="448"/>
        <v>1891.0101893327189</v>
      </c>
      <c r="BB514">
        <f t="shared" si="449"/>
        <v>1.5702675088899223</v>
      </c>
      <c r="BC514" s="41" t="str">
        <f t="shared" si="450"/>
        <v>-0,00476036315847659+0,132030332644371i</v>
      </c>
      <c r="BD514">
        <f t="shared" si="451"/>
        <v>-17.580883626797817</v>
      </c>
      <c r="BE514" s="43">
        <f t="shared" si="452"/>
        <v>92.064908997402298</v>
      </c>
      <c r="BF514" s="41" t="str">
        <f t="shared" si="453"/>
        <v>-0,0569513250019585-0,0893041629884467i</v>
      </c>
      <c r="BG514" s="20">
        <f t="shared" si="454"/>
        <v>-19.500579706413482</v>
      </c>
      <c r="BH514" s="43">
        <f t="shared" si="455"/>
        <v>-122.52659738371608</v>
      </c>
      <c r="BI514" s="41" t="str">
        <f t="shared" si="460"/>
        <v>0,411241253323429+0,0685881923841837i</v>
      </c>
      <c r="BJ514" s="20">
        <f t="shared" si="456"/>
        <v>-7.5989098853920956</v>
      </c>
      <c r="BK514" s="43">
        <f t="shared" si="461"/>
        <v>9.4688266555050138</v>
      </c>
      <c r="BL514">
        <f t="shared" si="457"/>
        <v>-19.500579706413482</v>
      </c>
      <c r="BM514" s="43">
        <f t="shared" si="458"/>
        <v>-122.52659738371608</v>
      </c>
    </row>
    <row r="515" spans="14:65" x14ac:dyDescent="0.25">
      <c r="N515" s="9">
        <v>97</v>
      </c>
      <c r="O515" s="34">
        <f t="shared" si="459"/>
        <v>933254.30079699249</v>
      </c>
      <c r="P515" s="33" t="str">
        <f t="shared" si="411"/>
        <v>54,631621870174</v>
      </c>
      <c r="Q515" s="4" t="str">
        <f t="shared" si="412"/>
        <v>1+46741,8948092545i</v>
      </c>
      <c r="R515" s="4">
        <f t="shared" si="424"/>
        <v>46741.894819951543</v>
      </c>
      <c r="S515" s="4">
        <f t="shared" si="425"/>
        <v>1.5707749327114104</v>
      </c>
      <c r="T515" s="4" t="str">
        <f t="shared" si="413"/>
        <v>1+117,276194212596i</v>
      </c>
      <c r="U515" s="4">
        <f t="shared" si="426"/>
        <v>117.28045757495379</v>
      </c>
      <c r="V515" s="4">
        <f t="shared" si="427"/>
        <v>1.5622696537400735</v>
      </c>
      <c r="W515" t="str">
        <f t="shared" si="414"/>
        <v>1-23,3340857493244i</v>
      </c>
      <c r="X515" s="4">
        <f t="shared" si="428"/>
        <v>23.355503800107247</v>
      </c>
      <c r="Y515" s="4">
        <f t="shared" si="429"/>
        <v>-1.5279667735366322</v>
      </c>
      <c r="Z515" t="str">
        <f t="shared" si="415"/>
        <v>-2,48385435982434+3,20591465487705i</v>
      </c>
      <c r="AA515" s="4">
        <f t="shared" si="430"/>
        <v>4.0555420420917612</v>
      </c>
      <c r="AB515" s="4">
        <f t="shared" si="431"/>
        <v>2.2299642178397834</v>
      </c>
      <c r="AC515" s="47" t="str">
        <f t="shared" si="432"/>
        <v>-0,640256299575186+0,461782730975756i</v>
      </c>
      <c r="AD515" s="20">
        <f t="shared" si="433"/>
        <v>-2.0539247272869128</v>
      </c>
      <c r="AE515" s="43">
        <f t="shared" si="434"/>
        <v>144.19909790407888</v>
      </c>
      <c r="AF515" t="str">
        <f t="shared" si="416"/>
        <v>171,265703090588</v>
      </c>
      <c r="AG515" t="str">
        <f t="shared" si="417"/>
        <v>1+46294,5740609185i</v>
      </c>
      <c r="AH515">
        <f t="shared" si="435"/>
        <v>46294.574071718904</v>
      </c>
      <c r="AI515">
        <f t="shared" si="436"/>
        <v>1.570774725991344</v>
      </c>
      <c r="AJ515" t="str">
        <f t="shared" si="418"/>
        <v>1+117,276194212596i</v>
      </c>
      <c r="AK515">
        <f t="shared" si="437"/>
        <v>117.28045757495379</v>
      </c>
      <c r="AL515">
        <f t="shared" si="438"/>
        <v>1.5622696537400735</v>
      </c>
      <c r="AM515" t="str">
        <f t="shared" si="419"/>
        <v>1-7,37204377039873i</v>
      </c>
      <c r="AN515">
        <f t="shared" si="439"/>
        <v>7.4395584111340058</v>
      </c>
      <c r="AO515">
        <f t="shared" si="440"/>
        <v>-1.4359716507251359</v>
      </c>
      <c r="AP515" s="41" t="str">
        <f t="shared" si="441"/>
        <v>0,406657024277184-3,2021297361287i</v>
      </c>
      <c r="AQ515">
        <f t="shared" si="442"/>
        <v>10.178262373745737</v>
      </c>
      <c r="AR515" s="43">
        <f t="shared" si="443"/>
        <v>-82.762419831435849</v>
      </c>
      <c r="AS515" t="str">
        <f t="shared" si="420"/>
        <v>-0,0000166666666666667</v>
      </c>
      <c r="AT515" t="str">
        <f t="shared" si="421"/>
        <v>0,00892471837957859i</v>
      </c>
      <c r="AU515">
        <f t="shared" si="444"/>
        <v>8.9247183795785907E-3</v>
      </c>
      <c r="AV515">
        <f t="shared" si="445"/>
        <v>1.5707963267948966</v>
      </c>
      <c r="AW515" t="str">
        <f t="shared" si="422"/>
        <v>1+27,9706034817165i</v>
      </c>
      <c r="AX515">
        <f t="shared" si="446"/>
        <v>27.988473683489978</v>
      </c>
      <c r="AY515">
        <f t="shared" si="447"/>
        <v>1.5350597270149402</v>
      </c>
      <c r="AZ515" t="str">
        <f t="shared" si="423"/>
        <v>1+1935,05720450784i</v>
      </c>
      <c r="BA515">
        <f t="shared" si="448"/>
        <v>1935.0574628981167</v>
      </c>
      <c r="BB515">
        <f t="shared" si="449"/>
        <v>1.5702795462528798</v>
      </c>
      <c r="BC515" s="41" t="str">
        <f t="shared" si="450"/>
        <v>-0,00454638502839471+0,129032605462992i</v>
      </c>
      <c r="BD515">
        <f t="shared" si="451"/>
        <v>-17.780622407048579</v>
      </c>
      <c r="BE515" s="43">
        <f t="shared" si="452"/>
        <v>92.017946997547597</v>
      </c>
      <c r="BF515" s="41" t="str">
        <f t="shared" si="453"/>
        <v>-0,0566741772808937-0,0847133805927596i</v>
      </c>
      <c r="BG515" s="20">
        <f t="shared" si="454"/>
        <v>-19.834547134335491</v>
      </c>
      <c r="BH515" s="43">
        <f t="shared" si="455"/>
        <v>-123.78295509837351</v>
      </c>
      <c r="BI515" s="41" t="str">
        <f t="shared" si="460"/>
        <v>0,411330323476344+0,0670301300636253i</v>
      </c>
      <c r="BJ515" s="20">
        <f t="shared" si="456"/>
        <v>-7.6023600333028396</v>
      </c>
      <c r="BK515" s="43">
        <f t="shared" si="461"/>
        <v>9.2555271661117615</v>
      </c>
      <c r="BL515">
        <f t="shared" si="457"/>
        <v>-19.834547134335491</v>
      </c>
      <c r="BM515" s="43">
        <f t="shared" si="458"/>
        <v>-123.78295509837351</v>
      </c>
    </row>
    <row r="516" spans="14:65" x14ac:dyDescent="0.25">
      <c r="N516" s="9">
        <v>98</v>
      </c>
      <c r="O516" s="34">
        <f t="shared" si="459"/>
        <v>954992.58602143743</v>
      </c>
      <c r="P516" s="33" t="str">
        <f t="shared" si="411"/>
        <v>54,631621870174</v>
      </c>
      <c r="Q516" s="4" t="str">
        <f t="shared" si="412"/>
        <v>1+47830,6534042343i</v>
      </c>
      <c r="R516" s="4">
        <f t="shared" si="424"/>
        <v>47830.65341468784</v>
      </c>
      <c r="S516" s="4">
        <f t="shared" si="425"/>
        <v>1.5707754197002057</v>
      </c>
      <c r="T516" s="4" t="str">
        <f t="shared" si="413"/>
        <v>1+120,007907699107i</v>
      </c>
      <c r="U516" s="4">
        <f t="shared" si="426"/>
        <v>120.01207401889772</v>
      </c>
      <c r="V516" s="4">
        <f t="shared" si="427"/>
        <v>1.5624637354262196</v>
      </c>
      <c r="W516" t="str">
        <f t="shared" si="414"/>
        <v>1-23,8776064285619i</v>
      </c>
      <c r="X516" s="4">
        <f t="shared" si="428"/>
        <v>23.898537376946326</v>
      </c>
      <c r="Y516" s="4">
        <f t="shared" si="429"/>
        <v>-1.5289405417161064</v>
      </c>
      <c r="Z516" t="str">
        <f t="shared" si="415"/>
        <v>-2,64804335742365+3,28059000018586i</v>
      </c>
      <c r="AA516" s="4">
        <f t="shared" si="430"/>
        <v>4.2159701578776589</v>
      </c>
      <c r="AB516" s="4">
        <f t="shared" si="431"/>
        <v>2.2499030959751516</v>
      </c>
      <c r="AC516" s="47" t="str">
        <f t="shared" si="432"/>
        <v>-0,620659726780648+0,467497154858616i</v>
      </c>
      <c r="AD516" s="20">
        <f t="shared" si="433"/>
        <v>-2.1912696926679227</v>
      </c>
      <c r="AE516" s="43">
        <f t="shared" si="434"/>
        <v>143.01198369088314</v>
      </c>
      <c r="AF516" t="str">
        <f t="shared" si="416"/>
        <v>171,265703090588</v>
      </c>
      <c r="AG516" t="str">
        <f t="shared" si="417"/>
        <v>1+47372,9132171603i</v>
      </c>
      <c r="AH516">
        <f t="shared" si="435"/>
        <v>47372.91322771486</v>
      </c>
      <c r="AI516">
        <f t="shared" si="436"/>
        <v>1.5707752176856622</v>
      </c>
      <c r="AJ516" t="str">
        <f t="shared" si="418"/>
        <v>1+120,007907699107i</v>
      </c>
      <c r="AK516">
        <f t="shared" si="437"/>
        <v>120.01207401889772</v>
      </c>
      <c r="AL516">
        <f t="shared" si="438"/>
        <v>1.5624637354262196</v>
      </c>
      <c r="AM516" t="str">
        <f t="shared" si="419"/>
        <v>1-7,54376072903601i</v>
      </c>
      <c r="AN516">
        <f t="shared" si="439"/>
        <v>7.6097520286107825</v>
      </c>
      <c r="AO516">
        <f t="shared" si="440"/>
        <v>-1.4390048168062226</v>
      </c>
      <c r="AP516" s="41" t="str">
        <f t="shared" si="441"/>
        <v>0,406657020689108-3,27654694165587i</v>
      </c>
      <c r="AQ516">
        <f t="shared" si="442"/>
        <v>10.374715105636172</v>
      </c>
      <c r="AR516" s="43">
        <f t="shared" si="443"/>
        <v>-82.925115556956698</v>
      </c>
      <c r="AS516" t="str">
        <f t="shared" si="420"/>
        <v>-0,0000166666666666667</v>
      </c>
      <c r="AT516" t="str">
        <f t="shared" si="421"/>
        <v>0,00913260177590202i</v>
      </c>
      <c r="AU516">
        <f t="shared" si="444"/>
        <v>9.1326017759020203E-3</v>
      </c>
      <c r="AV516">
        <f t="shared" si="445"/>
        <v>1.5707963267948966</v>
      </c>
      <c r="AW516" t="str">
        <f t="shared" si="422"/>
        <v>1+28,6221225327041i</v>
      </c>
      <c r="AX516">
        <f t="shared" si="446"/>
        <v>28.639586209949471</v>
      </c>
      <c r="AY516">
        <f t="shared" si="447"/>
        <v>1.5358725223696872</v>
      </c>
      <c r="AZ516" t="str">
        <f t="shared" si="423"/>
        <v>1+1980,13047703526i</v>
      </c>
      <c r="BA516">
        <f t="shared" si="448"/>
        <v>1980.1307295438567</v>
      </c>
      <c r="BB516">
        <f t="shared" si="449"/>
        <v>1.5702913096121487</v>
      </c>
      <c r="BC516" s="41" t="str">
        <f t="shared" si="450"/>
        <v>-0,00434201346443584+0,126102605111064i</v>
      </c>
      <c r="BD516">
        <f t="shared" si="451"/>
        <v>-17.980372929450638</v>
      </c>
      <c r="BE516" s="43">
        <f t="shared" si="452"/>
        <v>91.972051244951757</v>
      </c>
      <c r="BF516" s="41" t="str">
        <f t="shared" si="453"/>
        <v>-0,0562576962191673-0,0802966873755425i</v>
      </c>
      <c r="BG516" s="20">
        <f t="shared" si="454"/>
        <v>-20.171642622118561</v>
      </c>
      <c r="BH516" s="43">
        <f t="shared" si="455"/>
        <v>-125.01596506416507</v>
      </c>
      <c r="BI516" s="41" t="str">
        <f t="shared" si="460"/>
        <v>0,411415394852255+0,0655073206331262i</v>
      </c>
      <c r="BJ516" s="20">
        <f t="shared" si="456"/>
        <v>-7.605657823814469</v>
      </c>
      <c r="BK516" s="43">
        <f t="shared" si="461"/>
        <v>9.0469356879950684</v>
      </c>
      <c r="BL516">
        <f t="shared" si="457"/>
        <v>-20.171642622118561</v>
      </c>
      <c r="BM516" s="43">
        <f t="shared" si="458"/>
        <v>-125.01596506416507</v>
      </c>
    </row>
    <row r="517" spans="14:65" x14ac:dyDescent="0.25">
      <c r="N517" s="9">
        <v>99</v>
      </c>
      <c r="O517" s="34">
        <f t="shared" si="459"/>
        <v>977237.22095581202</v>
      </c>
      <c r="P517" s="33" t="str">
        <f t="shared" si="411"/>
        <v>54,631621870174</v>
      </c>
      <c r="Q517" s="4" t="str">
        <f t="shared" si="412"/>
        <v>1+48944,7724447626i</v>
      </c>
      <c r="R517" s="4">
        <f t="shared" si="424"/>
        <v>48944.7724549782</v>
      </c>
      <c r="S517" s="4">
        <f t="shared" si="425"/>
        <v>1.5707758956037825</v>
      </c>
      <c r="T517" s="4" t="str">
        <f t="shared" si="413"/>
        <v>1+122,803250966771i</v>
      </c>
      <c r="U517" s="4">
        <f t="shared" si="426"/>
        <v>122.80732245272567</v>
      </c>
      <c r="V517" s="4">
        <f t="shared" si="427"/>
        <v>1.5626533998804186</v>
      </c>
      <c r="W517" t="str">
        <f t="shared" si="414"/>
        <v>1-24,4337873307853i</v>
      </c>
      <c r="X517" s="4">
        <f t="shared" si="428"/>
        <v>24.454242235776686</v>
      </c>
      <c r="Y517" s="4">
        <f t="shared" si="429"/>
        <v>-1.5298922209778392</v>
      </c>
      <c r="Z517" t="str">
        <f t="shared" si="415"/>
        <v>-2,81997034408576+3,35700475773651i</v>
      </c>
      <c r="AA517" s="4">
        <f t="shared" si="430"/>
        <v>4.3842574838835278</v>
      </c>
      <c r="AB517" s="4">
        <f t="shared" si="431"/>
        <v>2.2694712320100909</v>
      </c>
      <c r="AC517" s="47" t="str">
        <f t="shared" si="432"/>
        <v>-0,601235363320831+0,472325371723553i</v>
      </c>
      <c r="AD517" s="20">
        <f t="shared" si="433"/>
        <v>-2.3315959905591579</v>
      </c>
      <c r="AE517" s="43">
        <f t="shared" si="434"/>
        <v>141.84712458347855</v>
      </c>
      <c r="AF517" t="str">
        <f t="shared" si="416"/>
        <v>171,265703090588</v>
      </c>
      <c r="AG517" t="str">
        <f t="shared" si="417"/>
        <v>1+48476,3701190445i</v>
      </c>
      <c r="AH517">
        <f t="shared" si="435"/>
        <v>48476.370129358809</v>
      </c>
      <c r="AI517">
        <f t="shared" si="436"/>
        <v>1.5707756981876515</v>
      </c>
      <c r="AJ517" t="str">
        <f t="shared" si="418"/>
        <v>1+122,803250966771i</v>
      </c>
      <c r="AK517">
        <f t="shared" si="437"/>
        <v>122.80732245272567</v>
      </c>
      <c r="AL517">
        <f t="shared" si="438"/>
        <v>1.5626533998804186</v>
      </c>
      <c r="AM517" t="str">
        <f t="shared" si="419"/>
        <v>1-7,7194774894653i</v>
      </c>
      <c r="AN517">
        <f t="shared" si="439"/>
        <v>7.7839792336800002</v>
      </c>
      <c r="AO517">
        <f t="shared" si="440"/>
        <v>-1.4419712983530077</v>
      </c>
      <c r="AP517" s="41" t="str">
        <f t="shared" si="441"/>
        <v>0,406657017262517-3,35270141574167i</v>
      </c>
      <c r="AQ517">
        <f t="shared" si="442"/>
        <v>10.571324805657103</v>
      </c>
      <c r="AR517" s="43">
        <f t="shared" si="443"/>
        <v>-83.084242987577682</v>
      </c>
      <c r="AS517" t="str">
        <f t="shared" si="420"/>
        <v>-0,0000166666666666667</v>
      </c>
      <c r="AT517" t="str">
        <f t="shared" si="421"/>
        <v>0,0093453273985713i</v>
      </c>
      <c r="AU517">
        <f t="shared" si="444"/>
        <v>9.3453273985712997E-3</v>
      </c>
      <c r="AV517">
        <f t="shared" si="445"/>
        <v>1.5707963267948966</v>
      </c>
      <c r="AW517" t="str">
        <f t="shared" si="422"/>
        <v>1+29,2888174119172i</v>
      </c>
      <c r="AX517">
        <f t="shared" si="446"/>
        <v>29.305883801527372</v>
      </c>
      <c r="AY517">
        <f t="shared" si="447"/>
        <v>1.5366668608521432</v>
      </c>
      <c r="AZ517" t="str">
        <f t="shared" si="423"/>
        <v>1+2026,25364095173i</v>
      </c>
      <c r="BA517">
        <f t="shared" si="448"/>
        <v>2026.2538877125303</v>
      </c>
      <c r="BB517">
        <f t="shared" si="449"/>
        <v>1.5703028052048047</v>
      </c>
      <c r="BC517" s="41" t="str">
        <f t="shared" si="450"/>
        <v>-0,00414681821104161+0,123238823871626i</v>
      </c>
      <c r="BD517">
        <f t="shared" si="451"/>
        <v>-18.180134666809789</v>
      </c>
      <c r="BE517" s="43">
        <f t="shared" si="452"/>
        <v>91.9271976513444</v>
      </c>
      <c r="BF517" s="41" t="str">
        <f t="shared" si="453"/>
        <v>-0,0557156095421982-0,0760541864986892i</v>
      </c>
      <c r="BG517" s="20">
        <f t="shared" si="454"/>
        <v>-20.511730657368943</v>
      </c>
      <c r="BH517" s="43">
        <f t="shared" si="455"/>
        <v>-126.22567776517705</v>
      </c>
      <c r="BI517" s="41" t="str">
        <f t="shared" si="460"/>
        <v>0,411496646543907+0,0640189758135587i</v>
      </c>
      <c r="BJ517" s="20">
        <f t="shared" si="456"/>
        <v>-7.6088098611526824</v>
      </c>
      <c r="BK517" s="43">
        <f t="shared" si="461"/>
        <v>8.8429546637667169</v>
      </c>
      <c r="BL517">
        <f t="shared" si="457"/>
        <v>-20.511730657368943</v>
      </c>
      <c r="BM517" s="43">
        <f t="shared" si="458"/>
        <v>-126.22567776517705</v>
      </c>
    </row>
    <row r="518" spans="14:65" x14ac:dyDescent="0.25">
      <c r="N518" s="9">
        <v>100</v>
      </c>
      <c r="O518" s="34">
        <f t="shared" si="459"/>
        <v>1000000</v>
      </c>
      <c r="P518" s="33" t="str">
        <f t="shared" si="411"/>
        <v>54,631621870174</v>
      </c>
      <c r="Q518" s="4" t="str">
        <f t="shared" si="412"/>
        <v>1+50084,8426515016i</v>
      </c>
      <c r="R518" s="4">
        <f t="shared" si="424"/>
        <v>50084.842661484661</v>
      </c>
      <c r="S518" s="4">
        <f t="shared" si="425"/>
        <v>1.5707763606744711</v>
      </c>
      <c r="T518" s="4" t="str">
        <f t="shared" si="413"/>
        <v>1+125,663706143592i</v>
      </c>
      <c r="U518" s="4">
        <f t="shared" si="426"/>
        <v>125.66768495418</v>
      </c>
      <c r="V518" s="4">
        <f t="shared" si="427"/>
        <v>1.5628387476106615</v>
      </c>
      <c r="W518" t="str">
        <f t="shared" si="414"/>
        <v>1-25,0029233504708i</v>
      </c>
      <c r="X518" s="4">
        <f t="shared" si="428"/>
        <v>25.022913021259495</v>
      </c>
      <c r="Y518" s="4">
        <f t="shared" si="429"/>
        <v>-1.5308223090154045</v>
      </c>
      <c r="Z518" t="str">
        <f t="shared" si="415"/>
        <v>-3,00000000000001+3,43519944364491i</v>
      </c>
      <c r="AA518" s="4">
        <f t="shared" si="430"/>
        <v>4.5607669549778969</v>
      </c>
      <c r="AB518" s="4">
        <f t="shared" si="431"/>
        <v>2.28866934282666</v>
      </c>
      <c r="AC518" s="47" t="str">
        <f t="shared" si="432"/>
        <v>-0,58202323118379+0,476304897899867i</v>
      </c>
      <c r="AD518" s="20">
        <f t="shared" si="433"/>
        <v>-2.4747724086769218</v>
      </c>
      <c r="AE518" s="43">
        <f t="shared" si="434"/>
        <v>140.70445673603422</v>
      </c>
      <c r="AF518" t="str">
        <f t="shared" si="416"/>
        <v>171,265703090588</v>
      </c>
      <c r="AG518" t="str">
        <f t="shared" si="417"/>
        <v>1+49605,5298340263i</v>
      </c>
      <c r="AH518">
        <f t="shared" si="435"/>
        <v>49605.529844105826</v>
      </c>
      <c r="AI518">
        <f t="shared" si="436"/>
        <v>1.57077616775208</v>
      </c>
      <c r="AJ518" t="str">
        <f t="shared" si="418"/>
        <v>1+125,663706143592i</v>
      </c>
      <c r="AK518">
        <f t="shared" si="437"/>
        <v>125.66768495418</v>
      </c>
      <c r="AL518">
        <f t="shared" si="438"/>
        <v>1.5628387476106615</v>
      </c>
      <c r="AM518" t="str">
        <f t="shared" si="419"/>
        <v>1-7,89928721903887i</v>
      </c>
      <c r="AN518">
        <f t="shared" si="439"/>
        <v>7.9623324829393329</v>
      </c>
      <c r="AO518">
        <f t="shared" si="440"/>
        <v>-1.4448724592818869</v>
      </c>
      <c r="AP518" s="41" t="str">
        <f t="shared" si="441"/>
        <v>0,406657013990153-3,43063353649637i</v>
      </c>
      <c r="AQ518">
        <f t="shared" si="442"/>
        <v>10.76808464153685</v>
      </c>
      <c r="AR518" s="43">
        <f t="shared" si="443"/>
        <v>-83.239874525865403</v>
      </c>
      <c r="AS518" t="str">
        <f t="shared" si="420"/>
        <v>-0,0000166666666666667</v>
      </c>
      <c r="AT518" t="str">
        <f t="shared" si="421"/>
        <v>0,00956300803752733i</v>
      </c>
      <c r="AU518">
        <f t="shared" si="444"/>
        <v>9.5630080375273298E-3</v>
      </c>
      <c r="AV518">
        <f t="shared" si="445"/>
        <v>1.5707963267948966</v>
      </c>
      <c r="AW518" t="str">
        <f t="shared" si="422"/>
        <v>1+29,9710416098054i</v>
      </c>
      <c r="AX518">
        <f t="shared" si="446"/>
        <v>29.987719739531492</v>
      </c>
      <c r="AY518">
        <f t="shared" si="447"/>
        <v>1.537443159619142</v>
      </c>
      <c r="AZ518" t="str">
        <f t="shared" si="423"/>
        <v>1+2073,45115136926i</v>
      </c>
      <c r="BA518">
        <f t="shared" si="448"/>
        <v>2073.4513925130991</v>
      </c>
      <c r="BB518">
        <f t="shared" si="449"/>
        <v>1.5703140391259511</v>
      </c>
      <c r="BC518" s="41" t="str">
        <f t="shared" si="450"/>
        <v>-0,00396038819207339+0,120439786092502i</v>
      </c>
      <c r="BD518">
        <f t="shared" si="451"/>
        <v>-18.379907115546199</v>
      </c>
      <c r="BE518" s="43">
        <f t="shared" si="452"/>
        <v>91.883362664623235</v>
      </c>
      <c r="BF518" s="41" t="str">
        <f t="shared" si="453"/>
        <v>-0,0550610220855783-0,0719851057581119i</v>
      </c>
      <c r="BG518" s="20">
        <f t="shared" si="454"/>
        <v>-20.854679524223116</v>
      </c>
      <c r="BH518" s="43">
        <f t="shared" si="455"/>
        <v>-127.41218059934251</v>
      </c>
      <c r="BI518" s="41" t="str">
        <f t="shared" si="460"/>
        <v>0,411574249660956+0,0625643243272608i</v>
      </c>
      <c r="BJ518" s="20">
        <f t="shared" si="456"/>
        <v>-7.6118224740093474</v>
      </c>
      <c r="BK518" s="43">
        <f t="shared" si="461"/>
        <v>8.6434881387578333</v>
      </c>
      <c r="BL518">
        <f t="shared" si="457"/>
        <v>-20.854679524223116</v>
      </c>
      <c r="BM518" s="43">
        <f t="shared" si="458"/>
        <v>-127.41218059934251</v>
      </c>
    </row>
    <row r="519" spans="14:65" x14ac:dyDescent="0.25">
      <c r="N519" s="9">
        <v>1</v>
      </c>
      <c r="O519" s="34">
        <f>10^(6+(N519/100))</f>
        <v>1023292.9922807553</v>
      </c>
      <c r="P519" s="33" t="str">
        <f t="shared" si="411"/>
        <v>54,631621870174</v>
      </c>
      <c r="Q519" s="4" t="str">
        <f t="shared" si="412"/>
        <v>1+51251,4685047659i</v>
      </c>
      <c r="R519" s="4">
        <f t="shared" si="424"/>
        <v>51251.468514521715</v>
      </c>
      <c r="S519" s="4">
        <f t="shared" si="425"/>
        <v>1.5707768151588588</v>
      </c>
      <c r="T519" s="4" t="str">
        <f t="shared" si="413"/>
        <v>1+128,590789880766i</v>
      </c>
      <c r="U519" s="4">
        <f t="shared" si="426"/>
        <v>128.59467812533811</v>
      </c>
      <c r="V519" s="4">
        <f t="shared" si="427"/>
        <v>1.5630198768398003</v>
      </c>
      <c r="W519" t="str">
        <f t="shared" si="414"/>
        <v>1-25,5853162510696i</v>
      </c>
      <c r="X519" s="4">
        <f t="shared" si="428"/>
        <v>25.604851252589736</v>
      </c>
      <c r="Y519" s="4">
        <f t="shared" si="429"/>
        <v>-1.5317312925334379</v>
      </c>
      <c r="Z519" t="str">
        <f t="shared" si="415"/>
        <v>-3,18851419220362+3,51521551776859i</v>
      </c>
      <c r="AA519" s="4">
        <f t="shared" si="430"/>
        <v>4.7458785161701096</v>
      </c>
      <c r="AB519" s="4">
        <f t="shared" si="431"/>
        <v>2.3074987542373591</v>
      </c>
      <c r="AC519" s="47" t="str">
        <f t="shared" si="432"/>
        <v>-0,563059335346511+0,479474245884307i</v>
      </c>
      <c r="AD519" s="20">
        <f t="shared" si="433"/>
        <v>-2.6206716827032572</v>
      </c>
      <c r="AE519" s="43">
        <f t="shared" si="434"/>
        <v>139.58388191259431</v>
      </c>
      <c r="AF519" t="str">
        <f t="shared" si="416"/>
        <v>171,265703090588</v>
      </c>
      <c r="AG519" t="str">
        <f t="shared" si="417"/>
        <v>1+50760,9910575331i</v>
      </c>
      <c r="AH519">
        <f t="shared" si="435"/>
        <v>50760.991067383184</v>
      </c>
      <c r="AI519">
        <f t="shared" si="436"/>
        <v>1.5707766266279173</v>
      </c>
      <c r="AJ519" t="str">
        <f t="shared" si="418"/>
        <v>1+128,590789880766i</v>
      </c>
      <c r="AK519">
        <f t="shared" si="437"/>
        <v>128.59467812533811</v>
      </c>
      <c r="AL519">
        <f t="shared" si="438"/>
        <v>1.5630198768398003</v>
      </c>
      <c r="AM519" t="str">
        <f t="shared" si="419"/>
        <v>1-8,08328525525541i</v>
      </c>
      <c r="AN519">
        <f t="shared" si="439"/>
        <v>8.1449064155353863</v>
      </c>
      <c r="AO519">
        <f t="shared" si="440"/>
        <v>-1.4477096423763716</v>
      </c>
      <c r="AP519" s="41" t="str">
        <f t="shared" si="441"/>
        <v>0,40665701086507-3,51038462456194i</v>
      </c>
      <c r="AQ519">
        <f t="shared" si="442"/>
        <v>10.964988068537131</v>
      </c>
      <c r="AR519" s="43">
        <f t="shared" si="443"/>
        <v>-83.392081494157978</v>
      </c>
      <c r="AS519" t="str">
        <f t="shared" si="420"/>
        <v>-0,0000166666666666667</v>
      </c>
      <c r="AT519" t="str">
        <f t="shared" si="421"/>
        <v>0,00978575910992626i</v>
      </c>
      <c r="AU519">
        <f t="shared" si="444"/>
        <v>9.7857591099262606E-3</v>
      </c>
      <c r="AV519">
        <f t="shared" si="445"/>
        <v>1.5707963267948966</v>
      </c>
      <c r="AW519" t="str">
        <f t="shared" si="422"/>
        <v>1+30,6691568506688i</v>
      </c>
      <c r="AX519">
        <f t="shared" si="446"/>
        <v>30.685455543806498</v>
      </c>
      <c r="AY519">
        <f t="shared" si="447"/>
        <v>1.5382018265297983</v>
      </c>
      <c r="AZ519" t="str">
        <f t="shared" si="423"/>
        <v>1+2121,74803303263i</v>
      </c>
      <c r="BA519">
        <f t="shared" si="448"/>
        <v>2121.7482686873659</v>
      </c>
      <c r="BB519">
        <f t="shared" si="449"/>
        <v>1.5703250173319505</v>
      </c>
      <c r="BC519" s="41" t="str">
        <f t="shared" si="450"/>
        <v>-0,00378233066383532+0,117704047605859i</v>
      </c>
      <c r="BD519">
        <f t="shared" si="451"/>
        <v>-18.579689794641457</v>
      </c>
      <c r="BE519" s="43">
        <f t="shared" si="452"/>
        <v>91.84052325745678</v>
      </c>
      <c r="BF519" s="41" t="str">
        <f t="shared" si="453"/>
        <v>-0,05430638287371-0,0680878929552766i</v>
      </c>
      <c r="BG519" s="20">
        <f t="shared" si="454"/>
        <v>-21.20036147734471</v>
      </c>
      <c r="BH519" s="43">
        <f t="shared" si="455"/>
        <v>-128.57559482994893</v>
      </c>
      <c r="BI519" s="41" t="str">
        <f t="shared" si="460"/>
        <v>0,411648367682455+0,0611426115734552i</v>
      </c>
      <c r="BJ519" s="20">
        <f t="shared" si="456"/>
        <v>-7.614701726104335</v>
      </c>
      <c r="BK519" s="43">
        <f t="shared" si="461"/>
        <v>8.4484417632988222</v>
      </c>
      <c r="BL519">
        <f t="shared" si="457"/>
        <v>-21.20036147734471</v>
      </c>
      <c r="BM519" s="43">
        <f t="shared" si="458"/>
        <v>-128.57559482994893</v>
      </c>
    </row>
    <row r="520" spans="14:65" x14ac:dyDescent="0.25">
      <c r="N520" s="9">
        <v>2</v>
      </c>
      <c r="O520" s="34">
        <f t="shared" ref="O520:O560" si="462">10^(6+(N520/100))</f>
        <v>1047128.5480509007</v>
      </c>
      <c r="P520" s="33" t="str">
        <f t="shared" si="411"/>
        <v>54,631621870174</v>
      </c>
      <c r="Q520" s="4" t="str">
        <f t="shared" si="412"/>
        <v>1+52445,2685650247i</v>
      </c>
      <c r="R520" s="4">
        <f t="shared" si="424"/>
        <v>52445.268574558453</v>
      </c>
      <c r="S520" s="4">
        <f t="shared" si="425"/>
        <v>1.5707772592979186</v>
      </c>
      <c r="T520" s="4" t="str">
        <f t="shared" si="413"/>
        <v>1+131,586054156834i</v>
      </c>
      <c r="U520" s="4">
        <f t="shared" si="426"/>
        <v>131.5898538967395</v>
      </c>
      <c r="V520" s="4">
        <f t="shared" si="427"/>
        <v>1.563196883557382</v>
      </c>
      <c r="W520" t="str">
        <f t="shared" si="414"/>
        <v>1-26,1812748250064i</v>
      </c>
      <c r="X520" s="4">
        <f t="shared" si="428"/>
        <v>26.200365483376636</v>
      </c>
      <c r="Y520" s="4">
        <f t="shared" si="429"/>
        <v>-1.5326196474752165</v>
      </c>
      <c r="Z520" t="str">
        <f t="shared" si="415"/>
        <v>-3,38591278457276+3,59709540568916i</v>
      </c>
      <c r="AA520" s="4">
        <f t="shared" si="430"/>
        <v>4.9399899536702829</v>
      </c>
      <c r="AB520" s="4">
        <f t="shared" si="431"/>
        <v>2.3259613488122621</v>
      </c>
      <c r="AC520" s="47" t="str">
        <f t="shared" si="432"/>
        <v>-0,544375796340373+0,481872567052689i</v>
      </c>
      <c r="AD520" s="20">
        <f t="shared" si="433"/>
        <v>-2.7691706285052984</v>
      </c>
      <c r="AE520" s="43">
        <f t="shared" si="434"/>
        <v>138.48527046628698</v>
      </c>
      <c r="AF520" t="str">
        <f t="shared" si="416"/>
        <v>171,265703090588</v>
      </c>
      <c r="AG520" t="str">
        <f t="shared" si="417"/>
        <v>1+51943,3664303995i</v>
      </c>
      <c r="AH520">
        <f t="shared" si="435"/>
        <v>51943.366440025369</v>
      </c>
      <c r="AI520">
        <f t="shared" si="436"/>
        <v>1.5707770750584653</v>
      </c>
      <c r="AJ520" t="str">
        <f t="shared" si="418"/>
        <v>1+131,586054156834i</v>
      </c>
      <c r="AK520">
        <f t="shared" si="437"/>
        <v>131.5898538967395</v>
      </c>
      <c r="AL520">
        <f t="shared" si="438"/>
        <v>1.563196883557382</v>
      </c>
      <c r="AM520" t="str">
        <f t="shared" si="419"/>
        <v>1-8,2715691563092i</v>
      </c>
      <c r="AN520">
        <f t="shared" si="439"/>
        <v>8.3317979036703527</v>
      </c>
      <c r="AO520">
        <f t="shared" si="440"/>
        <v>-1.4504841691451964</v>
      </c>
      <c r="AP520" s="41" t="str">
        <f t="shared" si="441"/>
        <v>0,406657007880634-3,59199696502083i</v>
      </c>
      <c r="AQ520">
        <f t="shared" si="442"/>
        <v>11.162028818207826</v>
      </c>
      <c r="AR520" s="43">
        <f t="shared" si="443"/>
        <v>-83.54093412347261</v>
      </c>
      <c r="AS520" t="str">
        <f t="shared" si="420"/>
        <v>-0,0000166666666666667</v>
      </c>
      <c r="AT520" t="str">
        <f t="shared" si="421"/>
        <v>0,0100136987213351i</v>
      </c>
      <c r="AU520">
        <f t="shared" si="444"/>
        <v>1.0013698721335101E-2</v>
      </c>
      <c r="AV520">
        <f t="shared" si="445"/>
        <v>1.5707963267948966</v>
      </c>
      <c r="AW520" t="str">
        <f t="shared" si="422"/>
        <v>1+31,3835332844486i</v>
      </c>
      <c r="AX520">
        <f t="shared" si="446"/>
        <v>31.39946116442276</v>
      </c>
      <c r="AY520">
        <f t="shared" si="447"/>
        <v>1.5389432603439928</v>
      </c>
      <c r="AZ520" t="str">
        <f t="shared" si="423"/>
        <v>1+2171,16989358776i</v>
      </c>
      <c r="BA520">
        <f t="shared" si="448"/>
        <v>2171.1701238783398</v>
      </c>
      <c r="BB520">
        <f t="shared" si="449"/>
        <v>1.570335745643582</v>
      </c>
      <c r="BC520" s="41" t="str">
        <f t="shared" si="450"/>
        <v>-0,00361227040479679+0,115030195151117i</v>
      </c>
      <c r="BD520">
        <f t="shared" si="451"/>
        <v>-18.779482244632327</v>
      </c>
      <c r="BE520" s="43">
        <f t="shared" si="452"/>
        <v>91.798656916092938</v>
      </c>
      <c r="BF520" s="41" t="str">
        <f t="shared" si="453"/>
        <v>-0,0534634628478325-0,0643603081014257i</v>
      </c>
      <c r="BG520" s="20">
        <f t="shared" si="454"/>
        <v>-21.548652873137627</v>
      </c>
      <c r="BH520" s="43">
        <f t="shared" si="455"/>
        <v>-129.71607261762006</v>
      </c>
      <c r="BI520" s="41" t="str">
        <f t="shared" si="460"/>
        <v>0,411719156794096+0,0597530993069433i</v>
      </c>
      <c r="BJ520" s="20">
        <f t="shared" si="456"/>
        <v>-7.6174534264244951</v>
      </c>
      <c r="BK520" s="43">
        <f t="shared" si="461"/>
        <v>8.2577227926203367</v>
      </c>
      <c r="BL520">
        <f t="shared" si="457"/>
        <v>-21.548652873137627</v>
      </c>
      <c r="BM520" s="43">
        <f t="shared" si="458"/>
        <v>-129.71607261762006</v>
      </c>
    </row>
    <row r="521" spans="14:65" x14ac:dyDescent="0.25">
      <c r="N521" s="9">
        <v>3</v>
      </c>
      <c r="O521" s="34">
        <f t="shared" si="462"/>
        <v>1071519.3052376076</v>
      </c>
      <c r="P521" s="33" t="str">
        <f t="shared" si="411"/>
        <v>54,631621870174</v>
      </c>
      <c r="Q521" s="4" t="str">
        <f t="shared" si="412"/>
        <v>1+53666,8758008719i</v>
      </c>
      <c r="R521" s="4">
        <f t="shared" si="424"/>
        <v>53666.875810188627</v>
      </c>
      <c r="S521" s="4">
        <f t="shared" si="425"/>
        <v>1.5707776933271391</v>
      </c>
      <c r="T521" s="4" t="str">
        <f t="shared" si="413"/>
        <v>1+134,651087100564i</v>
      </c>
      <c r="U521" s="4">
        <f t="shared" si="426"/>
        <v>134.65480035024251</v>
      </c>
      <c r="V521" s="4">
        <f t="shared" si="427"/>
        <v>1.5633698615703195</v>
      </c>
      <c r="W521" t="str">
        <f t="shared" si="414"/>
        <v>1-26,7911150574056i</v>
      </c>
      <c r="X521" s="4">
        <f t="shared" si="428"/>
        <v>26.809771465253956</v>
      </c>
      <c r="Y521" s="4">
        <f t="shared" si="429"/>
        <v>-1.533487839246553</v>
      </c>
      <c r="Z521" t="str">
        <f t="shared" si="415"/>
        <v>-3,59261448598754+3,68088252120701i</v>
      </c>
      <c r="AA521" s="4">
        <f t="shared" si="430"/>
        <v>5.1435177631514781</v>
      </c>
      <c r="AB521" s="4">
        <f t="shared" si="431"/>
        <v>2.3440595154509971</v>
      </c>
      <c r="AC521" s="47" t="str">
        <f t="shared" si="432"/>
        <v>-0,526001005843294+0,483539328545909i</v>
      </c>
      <c r="AD521" s="20">
        <f t="shared" si="433"/>
        <v>-2.92015023534216</v>
      </c>
      <c r="AE521" s="43">
        <f t="shared" si="434"/>
        <v>137.40846421870489</v>
      </c>
      <c r="AF521" t="str">
        <f t="shared" si="416"/>
        <v>171,265703090588</v>
      </c>
      <c r="AG521" t="str">
        <f t="shared" si="417"/>
        <v>1+53153,2828636992i</v>
      </c>
      <c r="AH521">
        <f t="shared" si="435"/>
        <v>53153.282873105949</v>
      </c>
      <c r="AI521">
        <f t="shared" si="436"/>
        <v>1.5707775132814878</v>
      </c>
      <c r="AJ521" t="str">
        <f t="shared" si="418"/>
        <v>1+134,651087100564i</v>
      </c>
      <c r="AK521">
        <f t="shared" si="437"/>
        <v>134.65480035024251</v>
      </c>
      <c r="AL521">
        <f t="shared" si="438"/>
        <v>1.5633698615703195</v>
      </c>
      <c r="AM521" t="str">
        <f t="shared" si="419"/>
        <v>1-8,46423875281683i</v>
      </c>
      <c r="AN521">
        <f t="shared" si="439"/>
        <v>8.5231061042724434</v>
      </c>
      <c r="AO521">
        <f t="shared" si="440"/>
        <v>-1.4531973397211693</v>
      </c>
      <c r="AP521" s="41" t="str">
        <f t="shared" si="441"/>
        <v>0,406657005030523-3,67551382981628i</v>
      </c>
      <c r="AQ521">
        <f t="shared" si="442"/>
        <v>11.359200887506731</v>
      </c>
      <c r="AR521" s="43">
        <f t="shared" si="443"/>
        <v>-83.686501544814689</v>
      </c>
      <c r="AS521" t="str">
        <f t="shared" si="420"/>
        <v>-0,0000166666666666667</v>
      </c>
      <c r="AT521" t="str">
        <f t="shared" si="421"/>
        <v>0,0102469477283529i</v>
      </c>
      <c r="AU521">
        <f t="shared" si="444"/>
        <v>1.02469477283529E-2</v>
      </c>
      <c r="AV521">
        <f t="shared" si="445"/>
        <v>1.5707963267948966</v>
      </c>
      <c r="AW521" t="str">
        <f t="shared" si="422"/>
        <v>1+32,1145496829861i</v>
      </c>
      <c r="AX521">
        <f t="shared" si="446"/>
        <v>32.130115177835613</v>
      </c>
      <c r="AY521">
        <f t="shared" si="447"/>
        <v>1.5396678509172113</v>
      </c>
      <c r="AZ521" t="str">
        <f t="shared" si="423"/>
        <v>1+2221,74293715931i</v>
      </c>
      <c r="BA521">
        <f t="shared" si="448"/>
        <v>2221.7431622078366</v>
      </c>
      <c r="BB521">
        <f t="shared" si="449"/>
        <v>1.5703462297491289</v>
      </c>
      <c r="BC521" s="41" t="str">
        <f t="shared" si="450"/>
        <v>-0,00344984894048634+0,112416845801786i</v>
      </c>
      <c r="BD521">
        <f t="shared" si="451"/>
        <v>-18.97928402664872</v>
      </c>
      <c r="BE521" s="43">
        <f t="shared" si="452"/>
        <v>91.757741629372362</v>
      </c>
      <c r="BF521" s="41" t="str">
        <f t="shared" si="453"/>
        <v>-0,0525433421235414-0,0607995116057375i</v>
      </c>
      <c r="BG521" s="20">
        <f t="shared" si="454"/>
        <v>-21.899434261990876</v>
      </c>
      <c r="BH521" s="43">
        <f t="shared" si="455"/>
        <v>-130.83379415192277</v>
      </c>
      <c r="BI521" s="41" t="str">
        <f t="shared" si="460"/>
        <v>0,411786766210843+0,058395065320267i</v>
      </c>
      <c r="BJ521" s="20">
        <f t="shared" si="456"/>
        <v>-7.6200831391419888</v>
      </c>
      <c r="BK521" s="43">
        <f t="shared" si="461"/>
        <v>8.0712400845576742</v>
      </c>
      <c r="BL521">
        <f t="shared" si="457"/>
        <v>-21.899434261990876</v>
      </c>
      <c r="BM521" s="43">
        <f t="shared" si="458"/>
        <v>-130.83379415192277</v>
      </c>
    </row>
    <row r="522" spans="14:65" x14ac:dyDescent="0.25">
      <c r="N522" s="9">
        <v>4</v>
      </c>
      <c r="O522" s="34">
        <f t="shared" si="462"/>
        <v>1096478.196143186</v>
      </c>
      <c r="P522" s="33" t="str">
        <f t="shared" si="411"/>
        <v>54,631621870174</v>
      </c>
      <c r="Q522" s="4" t="str">
        <f t="shared" si="412"/>
        <v>1+54916,9379246338i</v>
      </c>
      <c r="R522" s="4">
        <f t="shared" si="424"/>
        <v>54916.93793373846</v>
      </c>
      <c r="S522" s="4">
        <f t="shared" si="425"/>
        <v>1.5707781174766484</v>
      </c>
      <c r="T522" s="4" t="str">
        <f t="shared" si="413"/>
        <v>1+137,787513832993i</v>
      </c>
      <c r="U522" s="4">
        <f t="shared" si="426"/>
        <v>137.7911425610414</v>
      </c>
      <c r="V522" s="4">
        <f t="shared" si="427"/>
        <v>1.5635389025524151</v>
      </c>
      <c r="W522" t="str">
        <f t="shared" si="414"/>
        <v>1-27,4151602936305i</v>
      </c>
      <c r="X522" s="4">
        <f t="shared" si="428"/>
        <v>27.433392315305348</v>
      </c>
      <c r="Y522" s="4">
        <f t="shared" si="429"/>
        <v>-1.5343363229359834</v>
      </c>
      <c r="Z522" t="str">
        <f t="shared" si="415"/>
        <v>-3,80905773846967+3,76662128935985i</v>
      </c>
      <c r="AA522" s="4">
        <f t="shared" si="430"/>
        <v>5.3568980569406524</v>
      </c>
      <c r="AB522" s="4">
        <f t="shared" si="431"/>
        <v>2.3617961009648476</v>
      </c>
      <c r="AC522" s="47" t="str">
        <f t="shared" si="432"/>
        <v>-0,507959800183618+0,484514024081054i</v>
      </c>
      <c r="AD522" s="20">
        <f t="shared" si="433"/>
        <v>-3.0734957238727709</v>
      </c>
      <c r="AE522" s="43">
        <f t="shared" si="434"/>
        <v>136.35327922426018</v>
      </c>
      <c r="AF522" t="str">
        <f t="shared" si="416"/>
        <v>171,265703090588</v>
      </c>
      <c r="AG522" t="str">
        <f t="shared" si="417"/>
        <v>1+54391,3818711401i</v>
      </c>
      <c r="AH522">
        <f t="shared" si="435"/>
        <v>54391.381880332738</v>
      </c>
      <c r="AI522">
        <f t="shared" si="436"/>
        <v>1.5707779415293364</v>
      </c>
      <c r="AJ522" t="str">
        <f t="shared" si="418"/>
        <v>1+137,787513832993i</v>
      </c>
      <c r="AK522">
        <f t="shared" si="437"/>
        <v>137.7911425610414</v>
      </c>
      <c r="AL522">
        <f t="shared" si="438"/>
        <v>1.5635389025524151</v>
      </c>
      <c r="AM522" t="str">
        <f t="shared" si="419"/>
        <v>1-8,66139620074865i</v>
      </c>
      <c r="AN522">
        <f t="shared" si="439"/>
        <v>8.7189325118584975</v>
      </c>
      <c r="AO522">
        <f t="shared" si="440"/>
        <v>-1.4558504327977522</v>
      </c>
      <c r="AP522" s="41" t="str">
        <f t="shared" si="441"/>
        <v>0,406657002308689-3,7609795006955i</v>
      </c>
      <c r="AQ522">
        <f t="shared" si="442"/>
        <v>11.556498528278095</v>
      </c>
      <c r="AR522" s="43">
        <f t="shared" si="443"/>
        <v>-83.828851782713755</v>
      </c>
      <c r="AS522" t="str">
        <f t="shared" si="420"/>
        <v>-0,0000166666666666667</v>
      </c>
      <c r="AT522" t="str">
        <f t="shared" si="421"/>
        <v>0,0104856298026908i</v>
      </c>
      <c r="AU522">
        <f t="shared" si="444"/>
        <v>1.0485629802690801E-2</v>
      </c>
      <c r="AV522">
        <f t="shared" si="445"/>
        <v>1.5707963267948966</v>
      </c>
      <c r="AW522" t="str">
        <f t="shared" si="422"/>
        <v>1+32,8625936408517i</v>
      </c>
      <c r="AX522">
        <f t="shared" si="446"/>
        <v>32.877804987616599</v>
      </c>
      <c r="AY522">
        <f t="shared" si="447"/>
        <v>1.5403759793917633</v>
      </c>
      <c r="AZ522" t="str">
        <f t="shared" si="423"/>
        <v>1+2273,49397824438i</v>
      </c>
      <c r="BA522">
        <f t="shared" si="448"/>
        <v>2273.4941981701772</v>
      </c>
      <c r="BB522">
        <f t="shared" si="449"/>
        <v>1.5703564752073933</v>
      </c>
      <c r="BC522" s="41" t="str">
        <f t="shared" si="450"/>
        <v>-0,00329472380208771+0,109862646396733i</v>
      </c>
      <c r="BD522">
        <f t="shared" si="451"/>
        <v>-19.179094721494828</v>
      </c>
      <c r="BE522" s="43">
        <f t="shared" si="452"/>
        <v>91.717755877945223</v>
      </c>
      <c r="BF522" s="41" t="str">
        <f t="shared" si="453"/>
        <v>-0,0515564056577063-0,0574021477989131i</v>
      </c>
      <c r="BG522" s="20">
        <f t="shared" si="454"/>
        <v>-22.252590445367598</v>
      </c>
      <c r="BH522" s="43">
        <f t="shared" si="455"/>
        <v>-131.92896489779457</v>
      </c>
      <c r="BI522" s="41" t="str">
        <f t="shared" si="460"/>
        <v>0,411851338485479+0,0570678031295003i</v>
      </c>
      <c r="BJ522" s="20">
        <f t="shared" si="456"/>
        <v>-7.622596193216733</v>
      </c>
      <c r="BK522" s="43">
        <f t="shared" si="461"/>
        <v>7.8889040952314566</v>
      </c>
      <c r="BL522">
        <f t="shared" si="457"/>
        <v>-22.252590445367598</v>
      </c>
      <c r="BM522" s="43">
        <f t="shared" si="458"/>
        <v>-131.92896489779457</v>
      </c>
    </row>
    <row r="523" spans="14:65" x14ac:dyDescent="0.25">
      <c r="N523" s="9">
        <v>5</v>
      </c>
      <c r="O523" s="34">
        <f t="shared" si="462"/>
        <v>1122018.4543019643</v>
      </c>
      <c r="P523" s="33" t="str">
        <f t="shared" si="411"/>
        <v>54,631621870174</v>
      </c>
      <c r="Q523" s="4" t="str">
        <f t="shared" si="412"/>
        <v>1+56196,1177357949i</v>
      </c>
      <c r="R523" s="4">
        <f t="shared" si="424"/>
        <v>56196.117744692318</v>
      </c>
      <c r="S523" s="4">
        <f t="shared" si="425"/>
        <v>1.5707785319713361</v>
      </c>
      <c r="T523" s="4" t="str">
        <f t="shared" si="413"/>
        <v>1+140,996997329089i</v>
      </c>
      <c r="U523" s="4">
        <f t="shared" si="426"/>
        <v>141.0005434593042</v>
      </c>
      <c r="V523" s="4">
        <f t="shared" si="427"/>
        <v>1.5637040960927702</v>
      </c>
      <c r="W523" t="str">
        <f t="shared" si="414"/>
        <v>1-28,0537414107257i</v>
      </c>
      <c r="X523" s="4">
        <f t="shared" si="428"/>
        <v>28.071558687395079</v>
      </c>
      <c r="Y523" s="4">
        <f t="shared" si="429"/>
        <v>-1.5351655435312475</v>
      </c>
      <c r="Z523" t="str">
        <f t="shared" si="415"/>
        <v>-4,03570164717668+3,85435716997743i</v>
      </c>
      <c r="AA523" s="4">
        <f t="shared" si="430"/>
        <v>5.5805875119722819</v>
      </c>
      <c r="AB523" s="4">
        <f t="shared" si="431"/>
        <v>2.3791743638713769</v>
      </c>
      <c r="AC523" s="47" t="str">
        <f t="shared" si="432"/>
        <v>-0,490273647108142+0,484835917892485i</v>
      </c>
      <c r="AD523" s="20">
        <f t="shared" si="433"/>
        <v>-3.2290965727106657</v>
      </c>
      <c r="AE523" s="43">
        <f t="shared" si="434"/>
        <v>135.3195084079224</v>
      </c>
      <c r="AF523" t="str">
        <f t="shared" si="416"/>
        <v>171,265703090588</v>
      </c>
      <c r="AG523" t="str">
        <f t="shared" si="417"/>
        <v>1+55658,3199092041i</v>
      </c>
      <c r="AH523">
        <f t="shared" si="435"/>
        <v>55658.319918187495</v>
      </c>
      <c r="AI523">
        <f t="shared" si="436"/>
        <v>1.5707783600290739</v>
      </c>
      <c r="AJ523" t="str">
        <f t="shared" si="418"/>
        <v>1+140,996997329089i</v>
      </c>
      <c r="AK523">
        <f t="shared" si="437"/>
        <v>141.0005434593042</v>
      </c>
      <c r="AL523">
        <f t="shared" si="438"/>
        <v>1.5637040960927702</v>
      </c>
      <c r="AM523" t="str">
        <f t="shared" si="419"/>
        <v>1-8,86314603559324i</v>
      </c>
      <c r="AN523">
        <f t="shared" si="439"/>
        <v>8.9193810126180946</v>
      </c>
      <c r="AO523">
        <f t="shared" si="440"/>
        <v>-1.4584447056005287</v>
      </c>
      <c r="AP523" s="41" t="str">
        <f t="shared" si="441"/>
        <v>0,406656999709357-3,8484392926884i</v>
      </c>
      <c r="AQ523">
        <f t="shared" si="442"/>
        <v>11.753916237085607</v>
      </c>
      <c r="AR523" s="43">
        <f t="shared" si="443"/>
        <v>-83.968051750821942</v>
      </c>
      <c r="AS523" t="str">
        <f t="shared" si="420"/>
        <v>-0,0000166666666666667</v>
      </c>
      <c r="AT523" t="str">
        <f t="shared" si="421"/>
        <v>0,0107298714967437i</v>
      </c>
      <c r="AU523">
        <f t="shared" si="444"/>
        <v>1.07298714967437E-2</v>
      </c>
      <c r="AV523">
        <f t="shared" si="445"/>
        <v>1.5707963267948966</v>
      </c>
      <c r="AW523" t="str">
        <f t="shared" si="422"/>
        <v>1+33,6280617808537i</v>
      </c>
      <c r="AX523">
        <f t="shared" si="446"/>
        <v>33.642927029866371</v>
      </c>
      <c r="AY523">
        <f t="shared" si="447"/>
        <v>1.5410680183844092</v>
      </c>
      <c r="AZ523" t="str">
        <f t="shared" si="423"/>
        <v>1+2326,45045592997i</v>
      </c>
      <c r="BA523">
        <f t="shared" si="448"/>
        <v>2326.4506708496451</v>
      </c>
      <c r="BB523">
        <f t="shared" si="449"/>
        <v>1.5703664874506442</v>
      </c>
      <c r="BC523" s="41" t="str">
        <f t="shared" si="450"/>
        <v>-0,00314656781732446+0,107366272976365i</v>
      </c>
      <c r="BD523">
        <f t="shared" si="451"/>
        <v>-19.378913928769808</v>
      </c>
      <c r="BE523" s="43">
        <f t="shared" si="452"/>
        <v>91.678678623689848</v>
      </c>
      <c r="BF523" s="41" t="str">
        <f t="shared" si="453"/>
        <v>-0,0505123462295183-0,0541644233244543i</v>
      </c>
      <c r="BG523" s="20">
        <f t="shared" si="454"/>
        <v>-22.608010501480468</v>
      </c>
      <c r="BH523" s="43">
        <f t="shared" si="455"/>
        <v>-133.00181296838775</v>
      </c>
      <c r="BI523" s="41" t="str">
        <f t="shared" si="460"/>
        <v>0,411913009803777+0,0557706216638446i</v>
      </c>
      <c r="BJ523" s="20">
        <f t="shared" si="456"/>
        <v>-7.6249976916841966</v>
      </c>
      <c r="BK523" s="43">
        <f t="shared" si="461"/>
        <v>7.7106268728679197</v>
      </c>
      <c r="BL523">
        <f t="shared" si="457"/>
        <v>-22.608010501480468</v>
      </c>
      <c r="BM523" s="43">
        <f t="shared" si="458"/>
        <v>-133.00181296838775</v>
      </c>
    </row>
    <row r="524" spans="14:65" x14ac:dyDescent="0.25">
      <c r="N524" s="9">
        <v>6</v>
      </c>
      <c r="O524" s="34">
        <f t="shared" si="462"/>
        <v>1148153.6214968837</v>
      </c>
      <c r="P524" s="33" t="str">
        <f t="shared" si="411"/>
        <v>54,631621870174</v>
      </c>
      <c r="Q524" s="4" t="str">
        <f t="shared" si="412"/>
        <v>1+57505,0934724231i</v>
      </c>
      <c r="R524" s="4">
        <f t="shared" si="424"/>
        <v>57505.093481117976</v>
      </c>
      <c r="S524" s="4">
        <f t="shared" si="425"/>
        <v>1.5707789370309728</v>
      </c>
      <c r="T524" s="4" t="str">
        <f t="shared" si="413"/>
        <v>1+144,281239299485i</v>
      </c>
      <c r="U524" s="4">
        <f t="shared" si="426"/>
        <v>144.28470471188294</v>
      </c>
      <c r="V524" s="4">
        <f t="shared" si="427"/>
        <v>1.5638655297431021</v>
      </c>
      <c r="W524" t="str">
        <f t="shared" si="414"/>
        <v>1-28,707196992852i</v>
      </c>
      <c r="X524" s="4">
        <f t="shared" si="428"/>
        <v>28.724608947493277</v>
      </c>
      <c r="Y524" s="4">
        <f t="shared" si="429"/>
        <v>-1.5359759361320537</v>
      </c>
      <c r="Z524" t="str">
        <f t="shared" si="415"/>
        <v>-4,27302695422564+3,94413668178499i</v>
      </c>
      <c r="AA524" s="4">
        <f t="shared" si="430"/>
        <v>5.81506436044699</v>
      </c>
      <c r="AB524" s="4">
        <f t="shared" si="431"/>
        <v>2.3961979305474439</v>
      </c>
      <c r="AC524" s="47" t="str">
        <f t="shared" si="432"/>
        <v>-0,47296084165462+0,484543820572011i</v>
      </c>
      <c r="AD524" s="20">
        <f t="shared" si="433"/>
        <v>-3.3868465171544364</v>
      </c>
      <c r="AE524" s="43">
        <f t="shared" si="434"/>
        <v>134.30692406797712</v>
      </c>
      <c r="AF524" t="str">
        <f t="shared" si="416"/>
        <v>171,265703090588</v>
      </c>
      <c r="AG524" t="str">
        <f t="shared" si="417"/>
        <v>1+56954,768725209i</v>
      </c>
      <c r="AH524">
        <f t="shared" si="435"/>
        <v>56954.768733987898</v>
      </c>
      <c r="AI524">
        <f t="shared" si="436"/>
        <v>1.5707787690025945</v>
      </c>
      <c r="AJ524" t="str">
        <f t="shared" si="418"/>
        <v>1+144,281239299485i</v>
      </c>
      <c r="AK524">
        <f t="shared" si="437"/>
        <v>144.28470471188294</v>
      </c>
      <c r="AL524">
        <f t="shared" si="438"/>
        <v>1.5638655297431021</v>
      </c>
      <c r="AM524" t="str">
        <f t="shared" si="419"/>
        <v>1-9,06959522778351i</v>
      </c>
      <c r="AN524">
        <f t="shared" si="439"/>
        <v>9.124557939748831</v>
      </c>
      <c r="AO524">
        <f t="shared" si="440"/>
        <v>-1.4609813938908718</v>
      </c>
      <c r="AP524" s="41" t="str">
        <f t="shared" si="441"/>
        <v>0,406656997227012-3,93793957813442i</v>
      </c>
      <c r="AQ524">
        <f t="shared" si="442"/>
        <v>11.951448745393854</v>
      </c>
      <c r="AR524" s="43">
        <f t="shared" si="443"/>
        <v>-84.104167249420115</v>
      </c>
      <c r="AS524" t="str">
        <f t="shared" si="420"/>
        <v>-0,0000166666666666667</v>
      </c>
      <c r="AT524" t="str">
        <f t="shared" si="421"/>
        <v>0,0109798023106908i</v>
      </c>
      <c r="AU524">
        <f t="shared" si="444"/>
        <v>1.09798023106908E-2</v>
      </c>
      <c r="AV524">
        <f t="shared" si="445"/>
        <v>1.5707963267948966</v>
      </c>
      <c r="AW524" t="str">
        <f t="shared" si="422"/>
        <v>1+34,4113599643318i</v>
      </c>
      <c r="AX524">
        <f t="shared" si="446"/>
        <v>34.425886983414344</v>
      </c>
      <c r="AY524">
        <f t="shared" si="447"/>
        <v>1.5417443321704269</v>
      </c>
      <c r="AZ524" t="str">
        <f t="shared" si="423"/>
        <v>1+2380,6404484415i</v>
      </c>
      <c r="BA524">
        <f t="shared" si="448"/>
        <v>2380.6406584690067</v>
      </c>
      <c r="BB524">
        <f t="shared" si="449"/>
        <v>1.5703762717874976</v>
      </c>
      <c r="BC524" s="41" t="str">
        <f t="shared" si="450"/>
        <v>-0,00300506843227374+0,104926430224112i</v>
      </c>
      <c r="BD524">
        <f t="shared" si="451"/>
        <v>-19.578741266028853</v>
      </c>
      <c r="BE524" s="43">
        <f t="shared" si="452"/>
        <v>91.640489299331563</v>
      </c>
      <c r="BF524" s="41" t="str">
        <f t="shared" si="453"/>
        <v>-0,0494201736848158-0,051082180089865i</v>
      </c>
      <c r="BG524" s="20">
        <f t="shared" si="454"/>
        <v>-22.965587783183295</v>
      </c>
      <c r="BH524" s="43">
        <f t="shared" si="455"/>
        <v>-134.05258663269129</v>
      </c>
      <c r="BI524" s="41" t="str">
        <f t="shared" si="460"/>
        <v>0,41197191026676+0,0545028449591401i</v>
      </c>
      <c r="BJ524" s="20">
        <f t="shared" si="456"/>
        <v>-7.6272925206350015</v>
      </c>
      <c r="BK524" s="43">
        <f t="shared" si="461"/>
        <v>7.5363220499114556</v>
      </c>
      <c r="BL524">
        <f t="shared" si="457"/>
        <v>-22.965587783183295</v>
      </c>
      <c r="BM524" s="43">
        <f t="shared" si="458"/>
        <v>-134.05258663269129</v>
      </c>
    </row>
    <row r="525" spans="14:65" x14ac:dyDescent="0.25">
      <c r="N525" s="9">
        <v>7</v>
      </c>
      <c r="O525" s="34">
        <f t="shared" si="462"/>
        <v>1174897.5549395324</v>
      </c>
      <c r="P525" s="33" t="str">
        <f t="shared" si="411"/>
        <v>54,631621870174</v>
      </c>
      <c r="Q525" s="4" t="str">
        <f t="shared" si="412"/>
        <v>1+58844,5591707804i</v>
      </c>
      <c r="R525" s="4">
        <f t="shared" si="424"/>
        <v>58844.559179277356</v>
      </c>
      <c r="S525" s="4">
        <f t="shared" si="425"/>
        <v>1.5707793328703266</v>
      </c>
      <c r="T525" s="4" t="str">
        <f t="shared" si="413"/>
        <v>1+147,641981092746i</v>
      </c>
      <c r="U525" s="4">
        <f t="shared" si="426"/>
        <v>147.64536762455759</v>
      </c>
      <c r="V525" s="4">
        <f t="shared" si="427"/>
        <v>1.5640232890639929</v>
      </c>
      <c r="W525" t="str">
        <f t="shared" si="414"/>
        <v>1-29,3758735108087i</v>
      </c>
      <c r="X525" s="4">
        <f t="shared" si="428"/>
        <v>29.392889353090691</v>
      </c>
      <c r="Y525" s="4">
        <f t="shared" si="429"/>
        <v>-1.5367679261591414</v>
      </c>
      <c r="Z525" t="str">
        <f t="shared" si="415"/>
        <v>-4,52153705841158+4,03600742706805i</v>
      </c>
      <c r="AA525" s="4">
        <f t="shared" si="430"/>
        <v>6.0608294252468209</v>
      </c>
      <c r="AB525" s="4">
        <f t="shared" si="431"/>
        <v>2.4128707538363465</v>
      </c>
      <c r="AC525" s="47" t="str">
        <f t="shared" si="432"/>
        <v>-0,456036707461719+0,483675895242645i</v>
      </c>
      <c r="AD525" s="20">
        <f t="shared" si="433"/>
        <v>-3.5466435235559062</v>
      </c>
      <c r="AE525" s="43">
        <f t="shared" si="434"/>
        <v>133.3152802383286</v>
      </c>
      <c r="AF525" t="str">
        <f t="shared" si="416"/>
        <v>171,265703090588</v>
      </c>
      <c r="AG525" t="str">
        <f t="shared" si="417"/>
        <v>1+58281,4157134775i</v>
      </c>
      <c r="AH525">
        <f t="shared" si="435"/>
        <v>58281.415722056568</v>
      </c>
      <c r="AI525">
        <f t="shared" si="436"/>
        <v>1.5707791686667409</v>
      </c>
      <c r="AJ525" t="str">
        <f t="shared" si="418"/>
        <v>1+147,641981092746i</v>
      </c>
      <c r="AK525">
        <f t="shared" si="437"/>
        <v>147.64536762455759</v>
      </c>
      <c r="AL525">
        <f t="shared" si="438"/>
        <v>1.5640232890639929</v>
      </c>
      <c r="AM525" t="str">
        <f t="shared" si="419"/>
        <v>1-9,28085323941386i</v>
      </c>
      <c r="AN525">
        <f t="shared" si="439"/>
        <v>9.3345721300731679</v>
      </c>
      <c r="AO525">
        <f t="shared" si="440"/>
        <v>-1.4634617119992732</v>
      </c>
      <c r="AP525" s="41" t="str">
        <f t="shared" si="441"/>
        <v>0,406656994856394-4,02952781126956i</v>
      </c>
      <c r="AQ525">
        <f t="shared" si="442"/>
        <v>12.14909101009016</v>
      </c>
      <c r="AR525" s="43">
        <f t="shared" si="443"/>
        <v>-84.237262964684291</v>
      </c>
      <c r="AS525" t="str">
        <f t="shared" si="420"/>
        <v>-0,0000166666666666667</v>
      </c>
      <c r="AT525" t="str">
        <f t="shared" si="421"/>
        <v>0,011235554761158i</v>
      </c>
      <c r="AU525">
        <f t="shared" si="444"/>
        <v>1.1235554761158E-2</v>
      </c>
      <c r="AV525">
        <f t="shared" si="445"/>
        <v>1.5707963267948966</v>
      </c>
      <c r="AW525" t="str">
        <f t="shared" si="422"/>
        <v>1+35,2129035063513i</v>
      </c>
      <c r="AX525">
        <f t="shared" si="446"/>
        <v>35.227099984920805</v>
      </c>
      <c r="AY525">
        <f t="shared" si="447"/>
        <v>1.5424052768641525</v>
      </c>
      <c r="AZ525" t="str">
        <f t="shared" si="423"/>
        <v>1+2436,09268803031i</v>
      </c>
      <c r="BA525">
        <f t="shared" si="448"/>
        <v>2436.0928932770075</v>
      </c>
      <c r="BB525">
        <f t="shared" si="449"/>
        <v>1.5703858334057308</v>
      </c>
      <c r="BC525" s="41" t="str">
        <f t="shared" si="450"/>
        <v>-0,00286992706280396+0,102541850913613i</v>
      </c>
      <c r="BD525">
        <f t="shared" si="451"/>
        <v>-19.778576367980424</v>
      </c>
      <c r="BE525" s="43">
        <f t="shared" si="452"/>
        <v>91.603167798259591</v>
      </c>
      <c r="BF525" s="41" t="str">
        <f t="shared" si="453"/>
        <v>-0,0482882294521032-0,0481509626090573i</v>
      </c>
      <c r="BG525" s="20">
        <f t="shared" si="454"/>
        <v>-23.325219891536335</v>
      </c>
      <c r="BH525" s="43">
        <f t="shared" si="455"/>
        <v>-135.08155196341184</v>
      </c>
      <c r="BI525" s="41" t="str">
        <f t="shared" si="460"/>
        <v>0,412028164160644+0,053263811855426i</v>
      </c>
      <c r="BJ525" s="20">
        <f t="shared" si="456"/>
        <v>-7.6294853578902586</v>
      </c>
      <c r="BK525" s="43">
        <f t="shared" si="461"/>
        <v>7.3659048335752928</v>
      </c>
      <c r="BL525">
        <f t="shared" si="457"/>
        <v>-23.325219891536335</v>
      </c>
      <c r="BM525" s="43">
        <f t="shared" si="458"/>
        <v>-135.08155196341184</v>
      </c>
    </row>
    <row r="526" spans="14:65" x14ac:dyDescent="0.25">
      <c r="N526" s="9">
        <v>8</v>
      </c>
      <c r="O526" s="34">
        <f t="shared" si="462"/>
        <v>1202264.4346174158</v>
      </c>
      <c r="P526" s="33" t="str">
        <f t="shared" si="411"/>
        <v>54,631621870174</v>
      </c>
      <c r="Q526" s="4" t="str">
        <f t="shared" si="412"/>
        <v>1+60215,2250333098i</v>
      </c>
      <c r="R526" s="4">
        <f t="shared" si="424"/>
        <v>60215.225041613339</v>
      </c>
      <c r="S526" s="4">
        <f t="shared" si="425"/>
        <v>1.5707797196992765</v>
      </c>
      <c r="T526" s="4" t="str">
        <f t="shared" si="413"/>
        <v>1+151,081004618654i</v>
      </c>
      <c r="U526" s="4">
        <f t="shared" si="426"/>
        <v>151.08431406529846</v>
      </c>
      <c r="V526" s="4">
        <f t="shared" si="427"/>
        <v>1.5641774576700944</v>
      </c>
      <c r="W526" t="str">
        <f t="shared" si="414"/>
        <v>1-30,0601255057364i</v>
      </c>
      <c r="X526" s="4">
        <f t="shared" si="428"/>
        <v>30.076754236795971</v>
      </c>
      <c r="Y526" s="4">
        <f t="shared" si="429"/>
        <v>-1.5375419295596402</v>
      </c>
      <c r="Z526" t="str">
        <f t="shared" si="415"/>
        <v>-4,78175908298375+4,13001811691181i</v>
      </c>
      <c r="AA526" s="4">
        <f t="shared" si="430"/>
        <v>6.3184072022715787</v>
      </c>
      <c r="AB526" s="4">
        <f t="shared" si="431"/>
        <v>2.4291970741611495</v>
      </c>
      <c r="AC526" s="47" t="str">
        <f t="shared" si="432"/>
        <v>-0,439513800331883+0,482269492256038i</v>
      </c>
      <c r="AD526" s="20">
        <f t="shared" si="433"/>
        <v>-3.7083897425976464</v>
      </c>
      <c r="AE526" s="43">
        <f t="shared" si="434"/>
        <v>132.34431490735813</v>
      </c>
      <c r="AF526" t="str">
        <f t="shared" si="416"/>
        <v>171,265703090588</v>
      </c>
      <c r="AG526" t="str">
        <f t="shared" si="417"/>
        <v>1+59638,9642798029i</v>
      </c>
      <c r="AH526">
        <f t="shared" si="435"/>
        <v>59638.964288186682</v>
      </c>
      <c r="AI526">
        <f t="shared" si="436"/>
        <v>1.5707795592334211</v>
      </c>
      <c r="AJ526" t="str">
        <f t="shared" si="418"/>
        <v>1+151,081004618654i</v>
      </c>
      <c r="AK526">
        <f t="shared" si="437"/>
        <v>151.08431406529846</v>
      </c>
      <c r="AL526">
        <f t="shared" si="438"/>
        <v>1.5641774576700944</v>
      </c>
      <c r="AM526" t="str">
        <f t="shared" si="419"/>
        <v>1-9,49703208227834i</v>
      </c>
      <c r="AN526">
        <f t="shared" si="439"/>
        <v>9.5495349819676587</v>
      </c>
      <c r="AO526">
        <f t="shared" si="440"/>
        <v>-1.465886852885955</v>
      </c>
      <c r="AP526" s="41" t="str">
        <f t="shared" si="441"/>
        <v>0,406656992592468-4,12325255338732i</v>
      </c>
      <c r="AQ526">
        <f t="shared" si="442"/>
        <v>12.34683820434123</v>
      </c>
      <c r="AR526" s="43">
        <f t="shared" si="443"/>
        <v>-84.367402469575154</v>
      </c>
      <c r="AS526" t="str">
        <f t="shared" si="420"/>
        <v>-0,0000166666666666667</v>
      </c>
      <c r="AT526" t="str">
        <f t="shared" si="421"/>
        <v>0,0114972644514796i</v>
      </c>
      <c r="AU526">
        <f t="shared" si="444"/>
        <v>1.14972644514796E-2</v>
      </c>
      <c r="AV526">
        <f t="shared" si="445"/>
        <v>1.5707963267948966</v>
      </c>
      <c r="AW526" t="str">
        <f t="shared" si="422"/>
        <v>1+36,0331173959077i</v>
      </c>
      <c r="AX526">
        <f t="shared" si="446"/>
        <v>36.046990848991349</v>
      </c>
      <c r="AY526">
        <f t="shared" si="447"/>
        <v>1.5430512005960311</v>
      </c>
      <c r="AZ526" t="str">
        <f t="shared" si="423"/>
        <v>1+2492,8365762078i</v>
      </c>
      <c r="BA526">
        <f t="shared" si="448"/>
        <v>2492.8367767825125</v>
      </c>
      <c r="BB526">
        <f t="shared" si="449"/>
        <v>1.5703951773750333</v>
      </c>
      <c r="BC526" s="41" t="str">
        <f t="shared" si="450"/>
        <v>-0,00274085847438169+0,100211295361923i</v>
      </c>
      <c r="BD526">
        <f t="shared" si="451"/>
        <v>-19.978418885719286</v>
      </c>
      <c r="BE526" s="43">
        <f t="shared" si="452"/>
        <v>91.566694464540561</v>
      </c>
      <c r="BF526" s="41" t="str">
        <f t="shared" si="453"/>
        <v>-0,0471242054082671-0,0453660796854853i</v>
      </c>
      <c r="BG526" s="20">
        <f t="shared" si="454"/>
        <v>-23.686808628316935</v>
      </c>
      <c r="BH526" s="43">
        <f t="shared" si="455"/>
        <v>-136.0889906281013</v>
      </c>
      <c r="BI526" s="41" t="str">
        <f t="shared" si="460"/>
        <v>0,412081890214986+0,0520528756986427i</v>
      </c>
      <c r="BJ526" s="20">
        <f t="shared" si="456"/>
        <v>-7.6315806813780647</v>
      </c>
      <c r="BK526" s="43">
        <f t="shared" si="461"/>
        <v>7.1992919949654066</v>
      </c>
      <c r="BL526">
        <f t="shared" si="457"/>
        <v>-23.686808628316935</v>
      </c>
      <c r="BM526" s="43">
        <f t="shared" si="458"/>
        <v>-136.0889906281013</v>
      </c>
    </row>
    <row r="527" spans="14:65" x14ac:dyDescent="0.25">
      <c r="N527" s="9">
        <v>9</v>
      </c>
      <c r="O527" s="34">
        <f t="shared" si="462"/>
        <v>1230268.770812382</v>
      </c>
      <c r="P527" s="33" t="str">
        <f t="shared" si="411"/>
        <v>54,631621870174</v>
      </c>
      <c r="Q527" s="4" t="str">
        <f t="shared" si="412"/>
        <v>1+61617,8178051945i</v>
      </c>
      <c r="R527" s="4">
        <f t="shared" si="424"/>
        <v>61617.817813309048</v>
      </c>
      <c r="S527" s="4">
        <f t="shared" si="425"/>
        <v>1.5707800977229247</v>
      </c>
      <c r="T527" s="4" t="str">
        <f t="shared" si="413"/>
        <v>1+154,600133293005i</v>
      </c>
      <c r="U527" s="4">
        <f t="shared" si="426"/>
        <v>154.60336740904097</v>
      </c>
      <c r="V527" s="4">
        <f t="shared" si="427"/>
        <v>1.5643281172743109</v>
      </c>
      <c r="W527" t="str">
        <f t="shared" si="414"/>
        <v>1-30,7603157770999i</v>
      </c>
      <c r="X527" s="4">
        <f t="shared" si="428"/>
        <v>30.776566194215057</v>
      </c>
      <c r="Y527" s="4">
        <f t="shared" si="429"/>
        <v>-1.5382983530087511</v>
      </c>
      <c r="Z527" t="str">
        <f t="shared" si="415"/>
        <v>-5,05424499374485+4,22621859702841i</v>
      </c>
      <c r="AA527" s="4">
        <f t="shared" si="430"/>
        <v>6.5883469919748201</v>
      </c>
      <c r="AB527" s="4">
        <f t="shared" si="431"/>
        <v>2.4451813831587561</v>
      </c>
      <c r="AC527" s="47" t="str">
        <f t="shared" si="432"/>
        <v>-0,423402111325671+0,480361010438643i</v>
      </c>
      <c r="AD527" s="20">
        <f t="shared" si="433"/>
        <v>-3.8719914445338905</v>
      </c>
      <c r="AE527" s="43">
        <f t="shared" si="434"/>
        <v>131.39375209250861</v>
      </c>
      <c r="AF527" t="str">
        <f t="shared" si="416"/>
        <v>171,265703090588</v>
      </c>
      <c r="AG527" t="str">
        <f t="shared" si="417"/>
        <v>1+61028,1342144045i</v>
      </c>
      <c r="AH527">
        <f t="shared" si="435"/>
        <v>61028.134222597437</v>
      </c>
      <c r="AI527">
        <f t="shared" si="436"/>
        <v>1.5707799409097178</v>
      </c>
      <c r="AJ527" t="str">
        <f t="shared" si="418"/>
        <v>1+154,600133293005i</v>
      </c>
      <c r="AK527">
        <f t="shared" si="437"/>
        <v>154.60336740904097</v>
      </c>
      <c r="AL527">
        <f t="shared" si="438"/>
        <v>1.5643281172743109</v>
      </c>
      <c r="AM527" t="str">
        <f t="shared" si="419"/>
        <v>1-9,7182463772609i</v>
      </c>
      <c r="AN527">
        <f t="shared" si="439"/>
        <v>9.7695605146365008</v>
      </c>
      <c r="AO527">
        <f t="shared" si="440"/>
        <v>-1.468257988226511</v>
      </c>
      <c r="AP527" s="41" t="str">
        <f t="shared" si="441"/>
        <v>0,406656990430438-4,21916349858659i</v>
      </c>
      <c r="AQ527">
        <f t="shared" si="442"/>
        <v>12.544685708776557</v>
      </c>
      <c r="AR527" s="43">
        <f t="shared" si="443"/>
        <v>-84.494648226219581</v>
      </c>
      <c r="AS527" t="str">
        <f t="shared" si="420"/>
        <v>-0,0000166666666666667</v>
      </c>
      <c r="AT527" t="str">
        <f t="shared" si="421"/>
        <v>0,0117650701435977i</v>
      </c>
      <c r="AU527">
        <f t="shared" si="444"/>
        <v>1.17650701435977E-2</v>
      </c>
      <c r="AV527">
        <f t="shared" si="445"/>
        <v>1.5707963267948966</v>
      </c>
      <c r="AW527" t="str">
        <f t="shared" si="422"/>
        <v>1+36,872436521262i</v>
      </c>
      <c r="AX527">
        <f t="shared" si="446"/>
        <v>36.885994293423835</v>
      </c>
      <c r="AY527">
        <f t="shared" si="447"/>
        <v>1.5436824436862153</v>
      </c>
      <c r="AZ527" t="str">
        <f t="shared" si="423"/>
        <v>1+2550,90219933458i</v>
      </c>
      <c r="BA527">
        <f t="shared" si="448"/>
        <v>2550.9023953436549</v>
      </c>
      <c r="BB527">
        <f t="shared" si="449"/>
        <v>1.570404308649695</v>
      </c>
      <c r="BC527" s="41" t="str">
        <f t="shared" si="450"/>
        <v>-0,00261759018904197+0,0979335508890282i</v>
      </c>
      <c r="BD527">
        <f t="shared" si="451"/>
        <v>-20.178268485994288</v>
      </c>
      <c r="BE527" s="43">
        <f t="shared" si="452"/>
        <v>91.531050083125876</v>
      </c>
      <c r="BF527" s="41" t="str">
        <f t="shared" si="453"/>
        <v>-0,0459351662482721-0,0427226604841571i</v>
      </c>
      <c r="BG527" s="20">
        <f t="shared" si="454"/>
        <v>-24.050259930528174</v>
      </c>
      <c r="BH527" s="43">
        <f t="shared" si="455"/>
        <v>-137.07519782436546</v>
      </c>
      <c r="BI527" s="41" t="str">
        <f t="shared" si="460"/>
        <v>0,412133201849504+0,0508694040465626i</v>
      </c>
      <c r="BJ527" s="20">
        <f t="shared" si="456"/>
        <v>-7.6335827772177307</v>
      </c>
      <c r="BK527" s="43">
        <f t="shared" si="461"/>
        <v>7.0364018569063109</v>
      </c>
      <c r="BL527">
        <f t="shared" si="457"/>
        <v>-24.050259930528174</v>
      </c>
      <c r="BM527" s="43">
        <f t="shared" si="458"/>
        <v>-137.07519782436546</v>
      </c>
    </row>
    <row r="528" spans="14:65" x14ac:dyDescent="0.25">
      <c r="N528" s="9">
        <v>10</v>
      </c>
      <c r="O528" s="34">
        <f t="shared" si="462"/>
        <v>1258925.4117941677</v>
      </c>
      <c r="P528" s="33" t="str">
        <f t="shared" si="411"/>
        <v>54,631621870174</v>
      </c>
      <c r="Q528" s="4" t="str">
        <f t="shared" si="412"/>
        <v>1+63053,0811596877i</v>
      </c>
      <c r="R528" s="4">
        <f t="shared" si="424"/>
        <v>63053.081167617529</v>
      </c>
      <c r="S528" s="4">
        <f t="shared" si="425"/>
        <v>1.5707804671417041</v>
      </c>
      <c r="T528" s="4" t="str">
        <f t="shared" si="413"/>
        <v>1+158,201233004402i</v>
      </c>
      <c r="U528" s="4">
        <f t="shared" si="426"/>
        <v>158.20439350445704</v>
      </c>
      <c r="V528" s="4">
        <f t="shared" si="427"/>
        <v>1.5644753477309854</v>
      </c>
      <c r="W528" t="str">
        <f t="shared" si="414"/>
        <v>1-31,4768155750494i</v>
      </c>
      <c r="X528" s="4">
        <f t="shared" si="428"/>
        <v>31.492696276210975</v>
      </c>
      <c r="Y528" s="4">
        <f t="shared" si="429"/>
        <v>-1.5390375941077583</v>
      </c>
      <c r="Z528" t="str">
        <f t="shared" si="415"/>
        <v>-5,33957276984447+4,32465987418576i</v>
      </c>
      <c r="AA528" s="4">
        <f t="shared" si="430"/>
        <v>6.8712240824948312</v>
      </c>
      <c r="AB528" s="4">
        <f t="shared" si="431"/>
        <v>2.4608283898174768</v>
      </c>
      <c r="AC528" s="47" t="str">
        <f t="shared" si="432"/>
        <v>-0,407709267101464+0,477985782814449i</v>
      </c>
      <c r="AD528" s="20">
        <f t="shared" si="433"/>
        <v>-4.0373589392222833</v>
      </c>
      <c r="AE528" s="43">
        <f t="shared" si="434"/>
        <v>130.46330377158137</v>
      </c>
      <c r="AF528" t="str">
        <f t="shared" si="416"/>
        <v>171,265703090588</v>
      </c>
      <c r="AG528" t="str">
        <f t="shared" si="417"/>
        <v>1+62449,6620735694i</v>
      </c>
      <c r="AH528">
        <f t="shared" si="435"/>
        <v>62449.662081575843</v>
      </c>
      <c r="AI528">
        <f t="shared" si="436"/>
        <v>1.5707803138980017</v>
      </c>
      <c r="AJ528" t="str">
        <f t="shared" si="418"/>
        <v>1+158,201233004402i</v>
      </c>
      <c r="AK528">
        <f t="shared" si="437"/>
        <v>158.20439350445704</v>
      </c>
      <c r="AL528">
        <f t="shared" si="438"/>
        <v>1.5644753477309854</v>
      </c>
      <c r="AM528" t="str">
        <f t="shared" si="419"/>
        <v>1-9,9446134151089i</v>
      </c>
      <c r="AN528">
        <f t="shared" si="439"/>
        <v>9.9947654287613918</v>
      </c>
      <c r="AO528">
        <f t="shared" si="440"/>
        <v>-1.4705762685204677</v>
      </c>
      <c r="AP528" s="41" t="str">
        <f t="shared" si="441"/>
        <v>0,406656988365713-4,31731150012001i</v>
      </c>
      <c r="AQ528">
        <f t="shared" si="442"/>
        <v>12.742629102990579</v>
      </c>
      <c r="AR528" s="43">
        <f t="shared" si="443"/>
        <v>-84.619061589662877</v>
      </c>
      <c r="AS528" t="str">
        <f t="shared" si="420"/>
        <v>-0,0000166666666666667</v>
      </c>
      <c r="AT528" t="str">
        <f t="shared" si="421"/>
        <v>0,012039113831635i</v>
      </c>
      <c r="AU528">
        <f t="shared" si="444"/>
        <v>1.2039113831634999E-2</v>
      </c>
      <c r="AV528">
        <f t="shared" si="445"/>
        <v>1.5707963267948966</v>
      </c>
      <c r="AW528" t="str">
        <f t="shared" si="422"/>
        <v>1+37,7313059005243i</v>
      </c>
      <c r="AX528">
        <f t="shared" si="446"/>
        <v>37.744555169705464</v>
      </c>
      <c r="AY528">
        <f t="shared" si="447"/>
        <v>1.544299338814755</v>
      </c>
      <c r="AZ528" t="str">
        <f t="shared" si="423"/>
        <v>1+2610,32034457264i</v>
      </c>
      <c r="BA528">
        <f t="shared" si="448"/>
        <v>2610.3205361200039</v>
      </c>
      <c r="BB528">
        <f t="shared" si="449"/>
        <v>1.5704132320712323</v>
      </c>
      <c r="BC528" s="41" t="str">
        <f t="shared" si="450"/>
        <v>-0,00249986191836624+0,0957074312839512i</v>
      </c>
      <c r="BD528">
        <f t="shared" si="451"/>
        <v>-20.378124850507575</v>
      </c>
      <c r="BE528" s="43">
        <f t="shared" si="452"/>
        <v>91.496215870251291</v>
      </c>
      <c r="BF528" s="41" t="str">
        <f t="shared" si="453"/>
        <v>-0,0447275745928275-0,0402157051209218i</v>
      </c>
      <c r="BG528" s="20">
        <f t="shared" si="454"/>
        <v>-24.415483789729862</v>
      </c>
      <c r="BH528" s="43">
        <f t="shared" si="455"/>
        <v>-138.04048035816731</v>
      </c>
      <c r="BI528" s="41" t="str">
        <f t="shared" si="460"/>
        <v>0,412182207410095+0,0497127783790247i</v>
      </c>
      <c r="BJ528" s="20">
        <f t="shared" si="456"/>
        <v>-7.6354957475170053</v>
      </c>
      <c r="BK528" s="43">
        <f t="shared" si="461"/>
        <v>6.8771542805884369</v>
      </c>
      <c r="BL528">
        <f t="shared" si="457"/>
        <v>-24.415483789729862</v>
      </c>
      <c r="BM528" s="43">
        <f t="shared" si="458"/>
        <v>-138.04048035816731</v>
      </c>
    </row>
    <row r="529" spans="14:65" x14ac:dyDescent="0.25">
      <c r="N529" s="9">
        <v>11</v>
      </c>
      <c r="O529" s="34">
        <f t="shared" si="462"/>
        <v>1288249.5516931366</v>
      </c>
      <c r="P529" s="33" t="str">
        <f t="shared" si="411"/>
        <v>54,631621870174</v>
      </c>
      <c r="Q529" s="4" t="str">
        <f t="shared" si="412"/>
        <v>1+64521,7760924182i</v>
      </c>
      <c r="R529" s="4">
        <f t="shared" si="424"/>
        <v>64521.776100167517</v>
      </c>
      <c r="S529" s="4">
        <f t="shared" si="425"/>
        <v>1.5707808281514852</v>
      </c>
      <c r="T529" s="4" t="str">
        <f t="shared" si="413"/>
        <v>1+161,88621310358i</v>
      </c>
      <c r="U529" s="4">
        <f t="shared" si="426"/>
        <v>161.88930166325915</v>
      </c>
      <c r="V529" s="4">
        <f t="shared" si="427"/>
        <v>1.5646192270781085</v>
      </c>
      <c r="W529" t="str">
        <f t="shared" si="414"/>
        <v>1-32,2100047972618i</v>
      </c>
      <c r="X529" s="4">
        <f t="shared" si="428"/>
        <v>32.225524185645583</v>
      </c>
      <c r="Y529" s="4">
        <f t="shared" si="429"/>
        <v>-1.5397600415784019</v>
      </c>
      <c r="Z529" t="str">
        <f t="shared" si="415"/>
        <v>-5,63834762975027+4,42539414325207i</v>
      </c>
      <c r="AA529" s="4">
        <f t="shared" si="430"/>
        <v>7.1676409868966102</v>
      </c>
      <c r="AB529" s="4">
        <f t="shared" si="431"/>
        <v>2.476142989074587</v>
      </c>
      <c r="AC529" s="47" t="str">
        <f t="shared" si="432"/>
        <v>-0,392440725617303+0,475177984692317i</v>
      </c>
      <c r="AD529" s="20">
        <f t="shared" si="433"/>
        <v>-4.2044064835364665</v>
      </c>
      <c r="AE529" s="43">
        <f t="shared" si="434"/>
        <v>129.55267167323956</v>
      </c>
      <c r="AF529" t="str">
        <f t="shared" si="416"/>
        <v>171,265703090588</v>
      </c>
      <c r="AG529" t="str">
        <f t="shared" si="417"/>
        <v>1+63904,3015701848i</v>
      </c>
      <c r="AH529">
        <f t="shared" si="435"/>
        <v>63904.301578009006</v>
      </c>
      <c r="AI529">
        <f t="shared" si="436"/>
        <v>1.5707806783960354</v>
      </c>
      <c r="AJ529" t="str">
        <f t="shared" si="418"/>
        <v>1+161,88621310358i</v>
      </c>
      <c r="AK529">
        <f t="shared" si="437"/>
        <v>161.88930166325915</v>
      </c>
      <c r="AL529">
        <f t="shared" si="438"/>
        <v>1.5646192270781085</v>
      </c>
      <c r="AM529" t="str">
        <f t="shared" si="419"/>
        <v>1-10,1762532186221i</v>
      </c>
      <c r="AN529">
        <f t="shared" si="439"/>
        <v>10.225269168560635</v>
      </c>
      <c r="AO529">
        <f t="shared" si="440"/>
        <v>-1.4728428232207789</v>
      </c>
      <c r="AP529" s="41" t="str">
        <f t="shared" si="441"/>
        <v>0,406656986393919-4,4177485973572i</v>
      </c>
      <c r="AQ529">
        <f t="shared" si="442"/>
        <v>12.940664157356597</v>
      </c>
      <c r="AR529" s="43">
        <f t="shared" si="443"/>
        <v>-84.740702812875966</v>
      </c>
      <c r="AS529" t="str">
        <f t="shared" si="420"/>
        <v>-0,0000166666666666667</v>
      </c>
      <c r="AT529" t="str">
        <f t="shared" si="421"/>
        <v>0,0123195408171824i</v>
      </c>
      <c r="AU529">
        <f t="shared" si="444"/>
        <v>1.23195408171824E-2</v>
      </c>
      <c r="AV529">
        <f t="shared" si="445"/>
        <v>1.5707963267948966</v>
      </c>
      <c r="AW529" t="str">
        <f t="shared" si="422"/>
        <v>1+38,6101809176081i</v>
      </c>
      <c r="AX529">
        <f t="shared" si="446"/>
        <v>38.62312869888234</v>
      </c>
      <c r="AY529">
        <f t="shared" si="447"/>
        <v>1.5449022111884143</v>
      </c>
      <c r="AZ529" t="str">
        <f t="shared" si="423"/>
        <v>1+2671,12251620907i</v>
      </c>
      <c r="BA529">
        <f t="shared" si="448"/>
        <v>2671.1227033962841</v>
      </c>
      <c r="BB529">
        <f t="shared" si="449"/>
        <v>1.5704219523709557</v>
      </c>
      <c r="BC529" s="41" t="str">
        <f t="shared" si="450"/>
        <v>-0,00238742502135597+0,0935317762776465i</v>
      </c>
      <c r="BD529">
        <f t="shared" si="451"/>
        <v>-20.577987675246185</v>
      </c>
      <c r="BE529" s="43">
        <f t="shared" si="452"/>
        <v>91.462173464025824</v>
      </c>
      <c r="BF529" s="41" t="str">
        <f t="shared" si="453"/>
        <v>-0,0435073181485669-0,0378401299609268i</v>
      </c>
      <c r="BG529" s="20">
        <f t="shared" si="454"/>
        <v>-24.782394158782644</v>
      </c>
      <c r="BH529" s="43">
        <f t="shared" si="455"/>
        <v>-138.98515486273459</v>
      </c>
      <c r="BI529" s="41" t="str">
        <f t="shared" si="460"/>
        <v>0,412229010394474+0,0485823938125288i</v>
      </c>
      <c r="BJ529" s="20">
        <f t="shared" si="456"/>
        <v>-7.6373235178895893</v>
      </c>
      <c r="BK529" s="43">
        <f t="shared" si="461"/>
        <v>6.7214706511498692</v>
      </c>
      <c r="BL529">
        <f t="shared" si="457"/>
        <v>-24.782394158782644</v>
      </c>
      <c r="BM529" s="43">
        <f t="shared" si="458"/>
        <v>-138.98515486273459</v>
      </c>
    </row>
    <row r="530" spans="14:65" x14ac:dyDescent="0.25">
      <c r="N530" s="9">
        <v>12</v>
      </c>
      <c r="O530" s="34">
        <f t="shared" si="462"/>
        <v>1318256.7385564097</v>
      </c>
      <c r="P530" s="33" t="str">
        <f t="shared" si="411"/>
        <v>54,631621870174</v>
      </c>
      <c r="Q530" s="4" t="str">
        <f t="shared" si="412"/>
        <v>1+66024,6813248795i</v>
      </c>
      <c r="R530" s="4">
        <f t="shared" si="424"/>
        <v>66024.681332452426</v>
      </c>
      <c r="S530" s="4">
        <f t="shared" si="425"/>
        <v>1.5707811809436807</v>
      </c>
      <c r="T530" s="4" t="str">
        <f t="shared" si="413"/>
        <v>1+165,657027415762i</v>
      </c>
      <c r="U530" s="4">
        <f t="shared" si="426"/>
        <v>165.66004567253543</v>
      </c>
      <c r="V530" s="4">
        <f t="shared" si="427"/>
        <v>1.5647598315785729</v>
      </c>
      <c r="W530" t="str">
        <f t="shared" si="414"/>
        <v>1-32,9602721903675i</v>
      </c>
      <c r="X530" s="4">
        <f t="shared" si="428"/>
        <v>32.97543847870886</v>
      </c>
      <c r="Y530" s="4">
        <f t="shared" si="429"/>
        <v>-1.5404660754536295</v>
      </c>
      <c r="Z530" t="str">
        <f t="shared" si="415"/>
        <v>-5,95120331499755+4,52847481487014i</v>
      </c>
      <c r="AA530" s="4">
        <f t="shared" si="430"/>
        <v>7.4782287371643674</v>
      </c>
      <c r="AB530" s="4">
        <f t="shared" si="431"/>
        <v>2.4911302328090756</v>
      </c>
      <c r="AC530" s="47" t="str">
        <f t="shared" si="432"/>
        <v>-0,37759996567837+0,471970562012879i</v>
      </c>
      <c r="AD530" s="20">
        <f t="shared" si="433"/>
        <v>-4.3730521785159713</v>
      </c>
      <c r="AE530" s="43">
        <f t="shared" si="434"/>
        <v>128.66154893042892</v>
      </c>
      <c r="AF530" t="str">
        <f t="shared" si="416"/>
        <v>171,265703090588</v>
      </c>
      <c r="AG530" t="str">
        <f t="shared" si="417"/>
        <v>1+65392,8239733662i</v>
      </c>
      <c r="AH530">
        <f t="shared" si="435"/>
        <v>65392.82398101229</v>
      </c>
      <c r="AI530">
        <f t="shared" si="436"/>
        <v>1.570781034597081</v>
      </c>
      <c r="AJ530" t="str">
        <f t="shared" si="418"/>
        <v>1+165,657027415762i</v>
      </c>
      <c r="AK530">
        <f t="shared" si="437"/>
        <v>165.66004567253543</v>
      </c>
      <c r="AL530">
        <f t="shared" si="438"/>
        <v>1.5647598315785729</v>
      </c>
      <c r="AM530" t="str">
        <f t="shared" si="419"/>
        <v>1-10,4132886062905i</v>
      </c>
      <c r="AN530">
        <f t="shared" si="439"/>
        <v>10.461193985291525</v>
      </c>
      <c r="AO530">
        <f t="shared" si="440"/>
        <v>-1.4750587608823962</v>
      </c>
      <c r="AP530" s="41" t="str">
        <f t="shared" si="441"/>
        <v>0,406656984510868-4,52052804337652i</v>
      </c>
      <c r="AQ530">
        <f t="shared" si="442"/>
        <v>13.138786825143129</v>
      </c>
      <c r="AR530" s="43">
        <f t="shared" si="443"/>
        <v>-84.859631052910146</v>
      </c>
      <c r="AS530" t="str">
        <f t="shared" si="420"/>
        <v>-0,0000166666666666667</v>
      </c>
      <c r="AT530" t="str">
        <f t="shared" si="421"/>
        <v>0,0126064997863395i</v>
      </c>
      <c r="AU530">
        <f t="shared" si="444"/>
        <v>1.2606499786339501E-2</v>
      </c>
      <c r="AV530">
        <f t="shared" si="445"/>
        <v>1.5707963267948966</v>
      </c>
      <c r="AW530" t="str">
        <f t="shared" si="422"/>
        <v>1+39,5095275636805i</v>
      </c>
      <c r="AX530">
        <f t="shared" si="446"/>
        <v>39.52218071292662</v>
      </c>
      <c r="AY530">
        <f t="shared" si="447"/>
        <v>1.5454913787041655</v>
      </c>
      <c r="AZ530" t="str">
        <f t="shared" si="423"/>
        <v>1+2733,34095236008i</v>
      </c>
      <c r="BA530">
        <f t="shared" si="448"/>
        <v>2733.3411352863927</v>
      </c>
      <c r="BB530">
        <f t="shared" si="449"/>
        <v>1.5704304741724784</v>
      </c>
      <c r="BC530" s="41" t="str">
        <f t="shared" si="450"/>
        <v>-0,00228004198613709+0,091405451022912i</v>
      </c>
      <c r="BD530">
        <f t="shared" si="451"/>
        <v>-20.777856669842073</v>
      </c>
      <c r="BE530" s="43">
        <f t="shared" si="452"/>
        <v>91.428904915208165</v>
      </c>
      <c r="BF530" s="41" t="str">
        <f t="shared" si="453"/>
        <v>-0,0422797383146139-0,0355908078666776i</v>
      </c>
      <c r="BG530" s="20">
        <f t="shared" si="454"/>
        <v>-25.150908848358036</v>
      </c>
      <c r="BH530" s="43">
        <f t="shared" si="455"/>
        <v>-139.90954615436294</v>
      </c>
      <c r="BI530" s="41" t="str">
        <f t="shared" si="460"/>
        <v>0,412273709667912+0,0474776588192418i</v>
      </c>
      <c r="BJ530" s="20">
        <f t="shared" si="456"/>
        <v>-7.6390698446989447</v>
      </c>
      <c r="BK530" s="43">
        <f t="shared" si="461"/>
        <v>6.5692738622980178</v>
      </c>
      <c r="BL530">
        <f t="shared" si="457"/>
        <v>-25.150908848358036</v>
      </c>
      <c r="BM530" s="43">
        <f t="shared" si="458"/>
        <v>-139.90954615436294</v>
      </c>
    </row>
    <row r="531" spans="14:65" x14ac:dyDescent="0.25">
      <c r="N531" s="9">
        <v>13</v>
      </c>
      <c r="O531" s="34">
        <f t="shared" si="462"/>
        <v>1348962.8825916562</v>
      </c>
      <c r="P531" s="33" t="str">
        <f t="shared" ref="P531:P560" si="463">COMPLEX(Adc,0)</f>
        <v>54,631621870174</v>
      </c>
      <c r="Q531" s="4" t="str">
        <f t="shared" ref="Q531:Q560" si="464">IMSUM(COMPLEX(1,0),IMDIV(COMPLEX(0,2*PI()*O531),COMPLEX(wp_lf,0)))</f>
        <v>1+67562,5937173191i</v>
      </c>
      <c r="R531" s="4">
        <f t="shared" si="424"/>
        <v>67562.593724719656</v>
      </c>
      <c r="S531" s="4">
        <f t="shared" si="425"/>
        <v>1.5707815257053452</v>
      </c>
      <c r="T531" s="4" t="str">
        <f t="shared" ref="T531:T560" si="465">IMSUM(COMPLEX(1,0),IMDIV(COMPLEX(0,2*PI()*O531),COMPLEX(wz_esr,0)))</f>
        <v>1+169,51567527661i</v>
      </c>
      <c r="U531" s="4">
        <f t="shared" si="426"/>
        <v>169.51862483068075</v>
      </c>
      <c r="V531" s="4">
        <f t="shared" si="427"/>
        <v>1.5648972357604953</v>
      </c>
      <c r="W531" t="str">
        <f t="shared" ref="W531:W560" si="466">IMSUB(COMPLEX(1,0),IMDIV(COMPLEX(0,2*PI()*O531),COMPLEX(wz_rhp,0)))</f>
        <v>1-33,7280155560693i</v>
      </c>
      <c r="X531" s="4">
        <f t="shared" si="428"/>
        <v>33.742836770942255</v>
      </c>
      <c r="Y531" s="4">
        <f t="shared" si="429"/>
        <v>-1.5411560672647653</v>
      </c>
      <c r="Z531" t="str">
        <f t="shared" ref="Z531:Z560" si="467">IMSUM(COMPLEX(1,0),IMDIV(COMPLEX(0,2*PI()*O531),COMPLEX(Q*(wsl/2),0)),IMDIV(IMPOWER(COMPLEX(0,2*PI()*O531),2),IMPOWER(COMPLEX(wsl/2,0),2)))</f>
        <v>-6,27880343443997+4,63395654377649i</v>
      </c>
      <c r="AA531" s="4">
        <f t="shared" si="430"/>
        <v>7.8036482377119052</v>
      </c>
      <c r="AB531" s="4">
        <f t="shared" si="431"/>
        <v>2.5057953031477465</v>
      </c>
      <c r="AC531" s="47" t="str">
        <f t="shared" si="432"/>
        <v>-0,363188669143446+0,468395177894553i</v>
      </c>
      <c r="AD531" s="20">
        <f t="shared" si="433"/>
        <v>-4.5432178583762823</v>
      </c>
      <c r="AE531" s="43">
        <f t="shared" si="434"/>
        <v>127.78962160140716</v>
      </c>
      <c r="AF531" t="str">
        <f t="shared" ref="AF531:AF560" si="468">COMPLEX($B$72,0)</f>
        <v>171,265703090588</v>
      </c>
      <c r="AG531" t="str">
        <f t="shared" ref="AG531:AG560" si="469">IMSUM(COMPLEX(1,0),IMDIV(COMPLEX(0,2*PI()*O531),COMPLEX(wp_lf_DCM,0)))</f>
        <v>1+66916,0185173944i</v>
      </c>
      <c r="AH531">
        <f t="shared" si="435"/>
        <v>66916.018524866449</v>
      </c>
      <c r="AI531">
        <f t="shared" si="436"/>
        <v>1.570781382690001</v>
      </c>
      <c r="AJ531" t="str">
        <f t="shared" ref="AJ531:AJ560" si="470">IMSUM(COMPLEX(1,0),IMDIV(COMPLEX(0,2*PI()*O531),COMPLEX(wz1_dcm,0)))</f>
        <v>1+169,51567527661i</v>
      </c>
      <c r="AK531">
        <f t="shared" si="437"/>
        <v>169.51862483068075</v>
      </c>
      <c r="AL531">
        <f t="shared" si="438"/>
        <v>1.5648972357604953</v>
      </c>
      <c r="AM531" t="str">
        <f t="shared" ref="AM531:AM560" si="471">IMSUB(COMPLEX(1,0),IMDIV(COMPLEX(0,2*PI()*O531),COMPLEX(wz2_dcm,0)))</f>
        <v>1-10,6558452574141i</v>
      </c>
      <c r="AN531">
        <f t="shared" si="439"/>
        <v>10.702665002229798</v>
      </c>
      <c r="AO531">
        <f t="shared" si="440"/>
        <v>-1.4772251693281651</v>
      </c>
      <c r="AP531" s="41" t="str">
        <f t="shared" si="441"/>
        <v>0,40665698271257-4,6257043332007i</v>
      </c>
      <c r="AQ531">
        <f t="shared" si="442"/>
        <v>13.33699323492586</v>
      </c>
      <c r="AR531" s="43">
        <f t="shared" si="443"/>
        <v>-84.975904378097781</v>
      </c>
      <c r="AS531" t="str">
        <f t="shared" ref="AS531:AS560" si="472">COMPLEX(Adc_ea,0)</f>
        <v>-0,0000166666666666667</v>
      </c>
      <c r="AT531" t="str">
        <f t="shared" ref="AT531:AT560" si="473">COMPLEX(0,2*PI()*O531*wp0_ea)</f>
        <v>0,01290014288855i</v>
      </c>
      <c r="AU531">
        <f t="shared" si="444"/>
        <v>1.2900142888550001E-2</v>
      </c>
      <c r="AV531">
        <f t="shared" si="445"/>
        <v>1.5707963267948966</v>
      </c>
      <c r="AW531" t="str">
        <f t="shared" ref="AW531:AW560" si="474">IMSUM(COMPLEX(1,0),IMDIV(COMPLEX(0,2*PI()*O531),COMPLEX(wp1_ea,0)))</f>
        <v>1+40,4298226842375i</v>
      </c>
      <c r="AX531">
        <f t="shared" si="446"/>
        <v>40.442187901730605</v>
      </c>
      <c r="AY531">
        <f t="shared" si="447"/>
        <v>1.5460671521094</v>
      </c>
      <c r="AZ531" t="str">
        <f t="shared" ref="AZ531:AZ560" si="475">IMSUM(COMPLEX(1,0),IMDIV(COMPLEX(0,2*PI()*O531),COMPLEX(wz_ea,0)))</f>
        <v>1+2797,00864206407i</v>
      </c>
      <c r="BA531">
        <f t="shared" si="448"/>
        <v>2797.0088208264724</v>
      </c>
      <c r="BB531">
        <f t="shared" si="449"/>
        <v>1.5704388019941673</v>
      </c>
      <c r="BC531" s="41" t="str">
        <f t="shared" si="450"/>
        <v>-0,00217748593447174+0,0893273455814609i</v>
      </c>
      <c r="BD531">
        <f t="shared" si="451"/>
        <v>-20.977731556961693</v>
      </c>
      <c r="BE531" s="43">
        <f t="shared" si="452"/>
        <v>91.396392678167658</v>
      </c>
      <c r="BF531" s="41" t="str">
        <f t="shared" si="453"/>
        <v>-0,0410496597058572-0,0334626036714872i</v>
      </c>
      <c r="BG531" s="20">
        <f t="shared" si="454"/>
        <v>-25.520949415337984</v>
      </c>
      <c r="BH531" s="43">
        <f t="shared" si="455"/>
        <v>-140.81398572042517</v>
      </c>
      <c r="BI531" s="41" t="str">
        <f t="shared" si="460"/>
        <v>0,412316399669469+0,0463979949504494i</v>
      </c>
      <c r="BJ531" s="20">
        <f t="shared" si="456"/>
        <v>-7.6407383220358298</v>
      </c>
      <c r="BK531" s="43">
        <f t="shared" si="461"/>
        <v>6.4204883000698807</v>
      </c>
      <c r="BL531">
        <f t="shared" si="457"/>
        <v>-25.520949415337984</v>
      </c>
      <c r="BM531" s="43">
        <f t="shared" si="458"/>
        <v>-140.81398572042517</v>
      </c>
    </row>
    <row r="532" spans="14:65" x14ac:dyDescent="0.25">
      <c r="N532" s="9">
        <v>14</v>
      </c>
      <c r="O532" s="34">
        <f t="shared" si="462"/>
        <v>1380384.2646028849</v>
      </c>
      <c r="P532" s="33" t="str">
        <f t="shared" si="463"/>
        <v>54,631621870174</v>
      </c>
      <c r="Q532" s="4" t="str">
        <f t="shared" si="464"/>
        <v>1+69136,3286912442i</v>
      </c>
      <c r="R532" s="4">
        <f t="shared" ref="R532:R560" si="476">IMABS(Q532)</f>
        <v>69136.328698476282</v>
      </c>
      <c r="S532" s="4">
        <f t="shared" ref="S532:S560" si="477">IMARGUMENT(Q532)</f>
        <v>1.5707818626192764</v>
      </c>
      <c r="T532" s="4" t="str">
        <f t="shared" si="465"/>
        <v>1+173,464202592295i</v>
      </c>
      <c r="U532" s="4">
        <f t="shared" ref="U532:U560" si="478">IMABS(T532)</f>
        <v>173.46708500744677</v>
      </c>
      <c r="V532" s="4">
        <f t="shared" ref="V532:V560" si="479">IMARGUMENT(T532)</f>
        <v>1.5650315124566263</v>
      </c>
      <c r="W532" t="str">
        <f t="shared" si="466"/>
        <v>1-34,5136419620619i</v>
      </c>
      <c r="X532" s="4">
        <f t="shared" ref="X532:X560" si="480">IMABS(W532)</f>
        <v>34.528125948064428</v>
      </c>
      <c r="Y532" s="4">
        <f t="shared" ref="Y532:Y560" si="481">IMARGUMENT(W532)</f>
        <v>-1.5418303802251188</v>
      </c>
      <c r="Z532" t="str">
        <f t="shared" si="467"/>
        <v>-6,621842871853+4,74189525778002i</v>
      </c>
      <c r="AA532" s="4">
        <f t="shared" ref="AA532:AA560" si="482">IMABS(Z532)</f>
        <v>8.1445916813101835</v>
      </c>
      <c r="AB532" s="4">
        <f t="shared" ref="AB532:AB560" si="483">IMARGUMENT(Z532)</f>
        <v>2.5201434879900346</v>
      </c>
      <c r="AC532" s="47" t="str">
        <f t="shared" ref="AC532:AC560" si="484">(IMDIV(IMPRODUCT(P532,T532,W532),IMPRODUCT(Q532,Z532)))</f>
        <v>-0,349206894895742+0,464482175392098i</v>
      </c>
      <c r="AD532" s="20">
        <f t="shared" ref="AD532:AD560" si="485">20*LOG(IMABS(AC532))</f>
        <v>-4.7148289732779691</v>
      </c>
      <c r="AE532" s="43">
        <f t="shared" ref="AE532:AE560" si="486">(180/PI())*IMARGUMENT(AC532)</f>
        <v>126.93657006380016</v>
      </c>
      <c r="AF532" t="str">
        <f t="shared" si="468"/>
        <v>171,265703090588</v>
      </c>
      <c r="AG532" t="str">
        <f t="shared" si="469"/>
        <v>1+68474,6928201788i</v>
      </c>
      <c r="AH532">
        <f t="shared" ref="AH532:AH560" si="487">IMABS(AG532)</f>
        <v>68474.692827480758</v>
      </c>
      <c r="AI532">
        <f t="shared" ref="AI532:AI560" si="488">IMARGUMENT(AG532)</f>
        <v>1.5707817228593586</v>
      </c>
      <c r="AJ532" t="str">
        <f t="shared" si="470"/>
        <v>1+173,464202592295i</v>
      </c>
      <c r="AK532">
        <f t="shared" ref="AK532:AK560" si="489">IMABS(AJ532)</f>
        <v>173.46708500744677</v>
      </c>
      <c r="AL532">
        <f t="shared" ref="AL532:AL560" si="490">IMARGUMENT(AJ532)</f>
        <v>1.5650315124566263</v>
      </c>
      <c r="AM532" t="str">
        <f t="shared" si="471"/>
        <v>1-10,9040517787399i</v>
      </c>
      <c r="AN532">
        <f t="shared" ref="AN532:AN560" si="491">IMABS(AM532)</f>
        <v>10.949810281161989</v>
      </c>
      <c r="AO532">
        <f t="shared" ref="AO532:AO560" si="492">IMARGUMENT(AM532)</f>
        <v>-1.4793431158304178</v>
      </c>
      <c r="AP532" s="41" t="str">
        <f t="shared" ref="AP532:AP560" si="493">(IMDIV(IMPRODUCT(AF532,AJ532,AM532),IMPRODUCT(AG532)))</f>
        <v>0,406656980995208-4,73333323269075i</v>
      </c>
      <c r="AQ532">
        <f t="shared" ref="AQ532:AQ560" si="494">20*LOG(IMABS(AP532))</f>
        <v>13.535279683285875</v>
      </c>
      <c r="AR532" s="43">
        <f t="shared" ref="AR532:AR560" si="495">(180/PI())*IMARGUMENT(AP532)</f>
        <v>-85.089579776204616</v>
      </c>
      <c r="AS532" t="str">
        <f t="shared" si="472"/>
        <v>-0,0000166666666666667</v>
      </c>
      <c r="AT532" t="str">
        <f t="shared" si="473"/>
        <v>0,0132006258172736i</v>
      </c>
      <c r="AU532">
        <f t="shared" ref="AU532:AU560" si="496">IMABS(AT532)</f>
        <v>1.32006258172736E-2</v>
      </c>
      <c r="AV532">
        <f t="shared" ref="AV532:AV560" si="497">IMARGUMENT(AT532)</f>
        <v>1.5707963267948966</v>
      </c>
      <c r="AW532" t="str">
        <f t="shared" si="474"/>
        <v>1+41,3715542319336i</v>
      </c>
      <c r="AX532">
        <f t="shared" ref="AX532:AX560" si="498">IMABS(AW532)</f>
        <v>41.383638065856694</v>
      </c>
      <c r="AY532">
        <f t="shared" ref="AY532:AY560" si="499">IMARGUMENT(AW532)</f>
        <v>1.5466298351589036</v>
      </c>
      <c r="AZ532" t="str">
        <f t="shared" si="475"/>
        <v>1+2862,15934277286i</v>
      </c>
      <c r="BA532">
        <f t="shared" ref="BA532:BA560" si="500">IMABS(AZ532)</f>
        <v>2862.1595174661338</v>
      </c>
      <c r="BB532">
        <f t="shared" ref="BB532:BB560" si="501">IMARGUMENT(AZ532)</f>
        <v>1.5704469402515391</v>
      </c>
      <c r="BC532" s="41" t="str">
        <f t="shared" ref="BC532:BC560" si="502">IMPRODUCT(AS532,IMDIV(AZ532,IMPRODUCT(AT532,AW532)))</f>
        <v>-0,00207954014809667+0,0872963744183134i</v>
      </c>
      <c r="BD532">
        <f t="shared" ref="BD532:BD560" si="503">20*LOG(IMABS(BC532))</f>
        <v>-21.177612071722457</v>
      </c>
      <c r="BE532" s="43">
        <f t="shared" ref="BE532:BE560" si="504">(180/PI())*IMARGUMENT(BC532)</f>
        <v>91.364619602027545</v>
      </c>
      <c r="BF532" s="41" t="str">
        <f t="shared" ref="BF532:BF560" si="505">IMPRODUCT(AC532,BC532)</f>
        <v>-0,0398214201357334-0,0314504051780785i</v>
      </c>
      <c r="BG532" s="20">
        <f t="shared" ref="BG532:BG560" si="506">20*LOG(IMABS(BF532))</f>
        <v>-25.892441045000428</v>
      </c>
      <c r="BH532" s="43">
        <f t="shared" ref="BH532:BH560" si="507">(180/PI())*IMARGUMENT(BF532)</f>
        <v>-141.69881033417221</v>
      </c>
      <c r="BI532" s="41" t="str">
        <f t="shared" si="460"/>
        <v>0,412357170609134+0,0453428365644792i</v>
      </c>
      <c r="BJ532" s="20">
        <f t="shared" ref="BJ532:BJ560" si="508">20*LOG(IMABS(BI532))</f>
        <v>-7.6423323884365848</v>
      </c>
      <c r="BK532" s="43">
        <f t="shared" si="461"/>
        <v>6.2750398258229403</v>
      </c>
      <c r="BL532">
        <f t="shared" ref="BL532:BL560" si="509">IF($B$31=0,BJ532,BG532)</f>
        <v>-25.892441045000428</v>
      </c>
      <c r="BM532" s="43">
        <f t="shared" ref="BM532:BM560" si="510">IF($B$31=0,BK532,BH532)</f>
        <v>-141.69881033417221</v>
      </c>
    </row>
    <row r="533" spans="14:65" x14ac:dyDescent="0.25">
      <c r="N533" s="9">
        <v>15</v>
      </c>
      <c r="O533" s="34">
        <f t="shared" si="462"/>
        <v>1412537.5446227565</v>
      </c>
      <c r="P533" s="33" t="str">
        <f t="shared" si="463"/>
        <v>54,631621870174</v>
      </c>
      <c r="Q533" s="4" t="str">
        <f t="shared" si="464"/>
        <v>1+70746,7206617692i</v>
      </c>
      <c r="R533" s="4">
        <f t="shared" si="476"/>
        <v>70746.720668836657</v>
      </c>
      <c r="S533" s="4">
        <f t="shared" si="477"/>
        <v>1.5707821918641101</v>
      </c>
      <c r="T533" s="4" t="str">
        <f t="shared" si="465"/>
        <v>1+177,504702924265i</v>
      </c>
      <c r="U533" s="4">
        <f t="shared" si="478"/>
        <v>177.50751972869082</v>
      </c>
      <c r="V533" s="4">
        <f t="shared" si="479"/>
        <v>1.5651627328428686</v>
      </c>
      <c r="W533" t="str">
        <f t="shared" si="466"/>
        <v>1-35,317567957865i</v>
      </c>
      <c r="X533" s="4">
        <f t="shared" si="480"/>
        <v>35.331722381712623</v>
      </c>
      <c r="Y533" s="4">
        <f t="shared" si="481"/>
        <v>-1.5424893694100736</v>
      </c>
      <c r="Z533" t="str">
        <f t="shared" si="467"/>
        <v>-6,98104925987555+4,85234818741564i</v>
      </c>
      <c r="AA533" s="4">
        <f t="shared" si="482"/>
        <v>8.5017840304682402</v>
      </c>
      <c r="AB533" s="4">
        <f t="shared" si="483"/>
        <v>2.5341801586473549</v>
      </c>
      <c r="AC533" s="47" t="str">
        <f t="shared" si="484"/>
        <v>-0,335653243939345+0,460260554576629i</v>
      </c>
      <c r="AD533" s="20">
        <f t="shared" si="485"/>
        <v>-4.8878144675396404</v>
      </c>
      <c r="AE533" s="43">
        <f t="shared" si="486"/>
        <v>126.10207028765628</v>
      </c>
      <c r="AF533" t="str">
        <f t="shared" si="468"/>
        <v>171,265703090588</v>
      </c>
      <c r="AG533" t="str">
        <f t="shared" si="469"/>
        <v>1+70069,6733114663i</v>
      </c>
      <c r="AH533">
        <f t="shared" si="487"/>
        <v>70069.673318602057</v>
      </c>
      <c r="AI533">
        <f t="shared" si="488"/>
        <v>1.5707820552855165</v>
      </c>
      <c r="AJ533" t="str">
        <f t="shared" si="470"/>
        <v>1+177,504702924265i</v>
      </c>
      <c r="AK533">
        <f t="shared" si="489"/>
        <v>177.50751972869082</v>
      </c>
      <c r="AL533">
        <f t="shared" si="490"/>
        <v>1.5651627328428686</v>
      </c>
      <c r="AM533" t="str">
        <f t="shared" si="471"/>
        <v>1-11,1580397726511i</v>
      </c>
      <c r="AN533">
        <f t="shared" si="491"/>
        <v>11.202760890426243</v>
      </c>
      <c r="AO533">
        <f t="shared" si="492"/>
        <v>-1.481413647306731</v>
      </c>
      <c r="AP533" s="41" t="str">
        <f t="shared" si="493"/>
        <v>0,406656979355142-4,8434718081139i</v>
      </c>
      <c r="AQ533">
        <f t="shared" si="494"/>
        <v>13.733642627786677</v>
      </c>
      <c r="AR533" s="43">
        <f t="shared" si="495"/>
        <v>-85.200713163444433</v>
      </c>
      <c r="AS533" t="str">
        <f t="shared" si="472"/>
        <v>-0,0000166666666666667</v>
      </c>
      <c r="AT533" t="str">
        <f t="shared" si="473"/>
        <v>0,0135081078925365i</v>
      </c>
      <c r="AU533">
        <f t="shared" si="496"/>
        <v>1.35081078925365E-2</v>
      </c>
      <c r="AV533">
        <f t="shared" si="497"/>
        <v>1.5707963267948966</v>
      </c>
      <c r="AW533" t="str">
        <f t="shared" si="474"/>
        <v>1+42,3352215253009i</v>
      </c>
      <c r="AX533">
        <f t="shared" si="498"/>
        <v>42.347030375178626</v>
      </c>
      <c r="AY533">
        <f t="shared" si="499"/>
        <v>1.5471797247686421</v>
      </c>
      <c r="AZ533" t="str">
        <f t="shared" si="475"/>
        <v>1+2928,82759825037i</v>
      </c>
      <c r="BA533">
        <f t="shared" si="500"/>
        <v>2928.8277689671395</v>
      </c>
      <c r="BB533">
        <f t="shared" si="501"/>
        <v>1.5704548932596014</v>
      </c>
      <c r="BC533" s="41" t="str">
        <f t="shared" si="502"/>
        <v>-0,00198599761594762+0,0853114759036312i</v>
      </c>
      <c r="BD533">
        <f t="shared" si="503"/>
        <v>-21.377497961134718</v>
      </c>
      <c r="BE533" s="43">
        <f t="shared" si="504"/>
        <v>91.333568921987847</v>
      </c>
      <c r="BF533" s="41" t="str">
        <f t="shared" si="505"/>
        <v>-0,0385989006689074-0,029549149996411i</v>
      </c>
      <c r="BG533" s="20">
        <f t="shared" si="506"/>
        <v>-26.26531242867436</v>
      </c>
      <c r="BH533" s="43">
        <f t="shared" si="507"/>
        <v>-142.56436079035589</v>
      </c>
      <c r="BI533" s="41" t="str">
        <f t="shared" si="460"/>
        <v>0,412396108656318+0,0443116305591234i</v>
      </c>
      <c r="BJ533" s="20">
        <f t="shared" si="508"/>
        <v>-7.6438553333480499</v>
      </c>
      <c r="BK533" s="43">
        <f t="shared" si="461"/>
        <v>6.1328557585434327</v>
      </c>
      <c r="BL533">
        <f t="shared" si="509"/>
        <v>-26.26531242867436</v>
      </c>
      <c r="BM533" s="43">
        <f t="shared" si="510"/>
        <v>-142.56436079035589</v>
      </c>
    </row>
    <row r="534" spans="14:65" x14ac:dyDescent="0.25">
      <c r="N534" s="9">
        <v>16</v>
      </c>
      <c r="O534" s="34">
        <f t="shared" si="462"/>
        <v>1445439.7707459298</v>
      </c>
      <c r="P534" s="33" t="str">
        <f t="shared" si="463"/>
        <v>54,631621870174</v>
      </c>
      <c r="Q534" s="4" t="str">
        <f t="shared" si="464"/>
        <v>1+72394,6234800325i</v>
      </c>
      <c r="R534" s="4">
        <f t="shared" si="476"/>
        <v>72394.62348693909</v>
      </c>
      <c r="S534" s="4">
        <f t="shared" si="477"/>
        <v>1.5707825136144162</v>
      </c>
      <c r="T534" s="4" t="str">
        <f t="shared" si="465"/>
        <v>1+181,639318599277i</v>
      </c>
      <c r="U534" s="4">
        <f t="shared" si="478"/>
        <v>181.6420712863891</v>
      </c>
      <c r="V534" s="4">
        <f t="shared" si="479"/>
        <v>1.5652909664759214</v>
      </c>
      <c r="W534" t="str">
        <f t="shared" si="466"/>
        <v>1-36,1402197956826i</v>
      </c>
      <c r="X534" s="4">
        <f t="shared" si="480"/>
        <v>36.154052150211989</v>
      </c>
      <c r="Y534" s="4">
        <f t="shared" si="481"/>
        <v>-1.5431333819336912</v>
      </c>
      <c r="Z534" t="str">
        <f t="shared" si="467"/>
        <v>-7,3571845234162+4,96537389628865i</v>
      </c>
      <c r="AA534" s="4">
        <f t="shared" si="482"/>
        <v>8.8759845674460021</v>
      </c>
      <c r="AB534" s="4">
        <f t="shared" si="483"/>
        <v>2.5479107494863698</v>
      </c>
      <c r="AC534" s="47" t="str">
        <f t="shared" si="484"/>
        <v>-0,322525015203423+0,455757962157125i</v>
      </c>
      <c r="AD534" s="20">
        <f t="shared" si="485"/>
        <v>-5.0621066547767466</v>
      </c>
      <c r="AE534" s="43">
        <f t="shared" si="486"/>
        <v>125.28579499383387</v>
      </c>
      <c r="AF534" t="str">
        <f t="shared" si="468"/>
        <v>171,265703090588</v>
      </c>
      <c r="AG534" t="str">
        <f t="shared" si="469"/>
        <v>1+71701,8056710253i</v>
      </c>
      <c r="AH534">
        <f t="shared" si="487"/>
        <v>71701.805677998636</v>
      </c>
      <c r="AI534">
        <f t="shared" si="488"/>
        <v>1.5707823801447309</v>
      </c>
      <c r="AJ534" t="str">
        <f t="shared" si="470"/>
        <v>1+181,639318599277i</v>
      </c>
      <c r="AK534">
        <f t="shared" si="489"/>
        <v>181.6420712863891</v>
      </c>
      <c r="AL534">
        <f t="shared" si="490"/>
        <v>1.5652909664759214</v>
      </c>
      <c r="AM534" t="str">
        <f t="shared" si="471"/>
        <v>1-11,4179439069438i</v>
      </c>
      <c r="AN534">
        <f t="shared" si="491"/>
        <v>11.461650974537438</v>
      </c>
      <c r="AO534">
        <f t="shared" si="492"/>
        <v>-1.4834377905284111</v>
      </c>
      <c r="AP534" s="41" t="str">
        <f t="shared" si="493"/>
        <v>0,406656977788888-4,95617845640057i</v>
      </c>
      <c r="AQ534">
        <f t="shared" si="494"/>
        <v>13.932078680220446</v>
      </c>
      <c r="AR534" s="43">
        <f t="shared" si="495"/>
        <v>-85.309359394273088</v>
      </c>
      <c r="AS534" t="str">
        <f t="shared" si="472"/>
        <v>-0,0000166666666666667</v>
      </c>
      <c r="AT534" t="str">
        <f t="shared" si="473"/>
        <v>0,013822752145405i</v>
      </c>
      <c r="AU534">
        <f t="shared" si="496"/>
        <v>1.3822752145404999E-2</v>
      </c>
      <c r="AV534">
        <f t="shared" si="497"/>
        <v>1.5707963267948966</v>
      </c>
      <c r="AW534" t="str">
        <f t="shared" si="474"/>
        <v>1+43,3213355134938i</v>
      </c>
      <c r="AX534">
        <f t="shared" si="498"/>
        <v>43.332875633549861</v>
      </c>
      <c r="AY534">
        <f t="shared" si="499"/>
        <v>1.5477171111664039</v>
      </c>
      <c r="AZ534" t="str">
        <f t="shared" si="475"/>
        <v>1+2997,04875688807i</v>
      </c>
      <c r="BA534">
        <f t="shared" si="500"/>
        <v>2997.0489237188513</v>
      </c>
      <c r="BB534">
        <f t="shared" si="501"/>
        <v>1.5704626652351399</v>
      </c>
      <c r="BC534" s="41" t="str">
        <f t="shared" si="502"/>
        <v>-0,00189666060136704+0,0833716118220813i</v>
      </c>
      <c r="BD534">
        <f t="shared" si="503"/>
        <v>-21.577388983569428</v>
      </c>
      <c r="BE534" s="43">
        <f t="shared" si="504"/>
        <v>91.303224250825195</v>
      </c>
      <c r="BF534" s="41" t="str">
        <f t="shared" si="505"/>
        <v>-0,037385555416495-0,0277538485410334i</v>
      </c>
      <c r="BG534" s="20">
        <f t="shared" si="506"/>
        <v>-26.639495638346176</v>
      </c>
      <c r="BH534" s="43">
        <f t="shared" si="507"/>
        <v>-143.41098075534092</v>
      </c>
      <c r="BI534" s="41" t="str">
        <f t="shared" si="460"/>
        <v>0,412433296119947+0,043303836108555i</v>
      </c>
      <c r="BJ534" s="20">
        <f t="shared" si="508"/>
        <v>-7.6453103033489871</v>
      </c>
      <c r="BK534" s="43">
        <f t="shared" si="461"/>
        <v>5.9938648565521166</v>
      </c>
      <c r="BL534">
        <f t="shared" si="509"/>
        <v>-26.639495638346176</v>
      </c>
      <c r="BM534" s="43">
        <f t="shared" si="510"/>
        <v>-143.41098075534092</v>
      </c>
    </row>
    <row r="535" spans="14:65" x14ac:dyDescent="0.25">
      <c r="N535" s="9">
        <v>17</v>
      </c>
      <c r="O535" s="34">
        <f t="shared" si="462"/>
        <v>1479108.3881682095</v>
      </c>
      <c r="P535" s="33" t="str">
        <f t="shared" si="463"/>
        <v>54,631621870174</v>
      </c>
      <c r="Q535" s="4" t="str">
        <f t="shared" si="464"/>
        <v>1+74080,9108859209i</v>
      </c>
      <c r="R535" s="4">
        <f t="shared" si="476"/>
        <v>74080.910892670276</v>
      </c>
      <c r="S535" s="4">
        <f t="shared" si="477"/>
        <v>1.5707828280407914</v>
      </c>
      <c r="T535" s="4" t="str">
        <f t="shared" si="465"/>
        <v>1+185,870241845291i</v>
      </c>
      <c r="U535" s="4">
        <f t="shared" si="478"/>
        <v>185.87293187451195</v>
      </c>
      <c r="V535" s="4">
        <f t="shared" si="479"/>
        <v>1.5654162813300754</v>
      </c>
      <c r="W535" t="str">
        <f t="shared" si="466"/>
        <v>1-36,9820336564081i</v>
      </c>
      <c r="X535" s="4">
        <f t="shared" si="480"/>
        <v>36.995551264492626</v>
      </c>
      <c r="Y535" s="4">
        <f t="shared" si="481"/>
        <v>-1.5437627571218686</v>
      </c>
      <c r="Z535" t="str">
        <f t="shared" si="467"/>
        <v>-7,75104649579824+5,08103231212595i</v>
      </c>
      <c r="AA535" s="4">
        <f t="shared" si="482"/>
        <v>9.2679885162258469</v>
      </c>
      <c r="AB535" s="4">
        <f t="shared" si="483"/>
        <v>2.5613407394617211</v>
      </c>
      <c r="AC535" s="47" t="str">
        <f t="shared" si="484"/>
        <v>-0,309818351824693+0,451000691984515i</v>
      </c>
      <c r="AD535" s="20">
        <f t="shared" si="485"/>
        <v>-5.2376410912597997</v>
      </c>
      <c r="AE535" s="43">
        <f t="shared" si="486"/>
        <v>124.48741470427953</v>
      </c>
      <c r="AF535" t="str">
        <f t="shared" si="468"/>
        <v>171,265703090588</v>
      </c>
      <c r="AG535" t="str">
        <f t="shared" si="469"/>
        <v>1+73371,9552770366i</v>
      </c>
      <c r="AH535">
        <f t="shared" si="487"/>
        <v>73371.955283851188</v>
      </c>
      <c r="AI535">
        <f t="shared" si="488"/>
        <v>1.5707826976092472</v>
      </c>
      <c r="AJ535" t="str">
        <f t="shared" si="470"/>
        <v>1+185,870241845291i</v>
      </c>
      <c r="AK535">
        <f t="shared" si="489"/>
        <v>185.87293187451195</v>
      </c>
      <c r="AL535">
        <f t="shared" si="490"/>
        <v>1.5654162813300754</v>
      </c>
      <c r="AM535" t="str">
        <f t="shared" si="471"/>
        <v>1-11,6839019862303i</v>
      </c>
      <c r="AN535">
        <f t="shared" si="491"/>
        <v>11.726617825436128</v>
      </c>
      <c r="AO535">
        <f t="shared" si="492"/>
        <v>-1.4854165523403915</v>
      </c>
      <c r="AP535" s="41" t="str">
        <f t="shared" si="493"/>
        <v>0,406656976293126-5,0715129361076i</v>
      </c>
      <c r="AQ535">
        <f t="shared" si="494"/>
        <v>14.130584600117409</v>
      </c>
      <c r="AR535" s="43">
        <f t="shared" si="495"/>
        <v>-85.415572271884827</v>
      </c>
      <c r="AS535" t="str">
        <f t="shared" si="472"/>
        <v>-0,0000166666666666667</v>
      </c>
      <c r="AT535" t="str">
        <f t="shared" si="473"/>
        <v>0,0141447254044267i</v>
      </c>
      <c r="AU535">
        <f t="shared" si="496"/>
        <v>1.4144725404426701E-2</v>
      </c>
      <c r="AV535">
        <f t="shared" si="497"/>
        <v>1.5707963267948966</v>
      </c>
      <c r="AW535" t="str">
        <f t="shared" si="474"/>
        <v>1+44,3304190472015i</v>
      </c>
      <c r="AX535">
        <f t="shared" si="498"/>
        <v>44.341696549641462</v>
      </c>
      <c r="AY535">
        <f t="shared" si="499"/>
        <v>1.5482422780393499</v>
      </c>
      <c r="AZ535" t="str">
        <f t="shared" si="475"/>
        <v>1+3066,85899044731i</v>
      </c>
      <c r="BA535">
        <f t="shared" si="500"/>
        <v>3066.8591534805596</v>
      </c>
      <c r="BB535">
        <f t="shared" si="501"/>
        <v>1.5704702602989558</v>
      </c>
      <c r="BC535" s="41" t="str">
        <f t="shared" si="502"/>
        <v>-0,00181134022843084+0,081475766889826i</v>
      </c>
      <c r="BD535">
        <f t="shared" si="503"/>
        <v>-21.777284908248575</v>
      </c>
      <c r="BE535" s="43">
        <f t="shared" si="504"/>
        <v>91.273569570567076</v>
      </c>
      <c r="BF535" s="41" t="str">
        <f t="shared" si="505"/>
        <v>-0,0361844408031144-0,0260596035079005i</v>
      </c>
      <c r="BG535" s="20">
        <f t="shared" si="506"/>
        <v>-27.01492599950836</v>
      </c>
      <c r="BH535" s="43">
        <f t="shared" si="507"/>
        <v>-144.23901572515342</v>
      </c>
      <c r="BI535" s="41" t="str">
        <f t="shared" si="460"/>
        <v>0,412468811620708+0,0423189244047593i</v>
      </c>
      <c r="BJ535" s="20">
        <f t="shared" si="508"/>
        <v>-7.6467003081311642</v>
      </c>
      <c r="BK535" s="43">
        <f t="shared" si="461"/>
        <v>5.8579972986822577</v>
      </c>
      <c r="BL535">
        <f t="shared" si="509"/>
        <v>-27.01492599950836</v>
      </c>
      <c r="BM535" s="43">
        <f t="shared" si="510"/>
        <v>-144.23901572515342</v>
      </c>
    </row>
    <row r="536" spans="14:65" x14ac:dyDescent="0.25">
      <c r="N536" s="9">
        <v>18</v>
      </c>
      <c r="O536" s="34">
        <f t="shared" si="462"/>
        <v>1513561.2484362102</v>
      </c>
      <c r="P536" s="33" t="str">
        <f t="shared" si="463"/>
        <v>54,631621870174</v>
      </c>
      <c r="Q536" s="4" t="str">
        <f t="shared" si="464"/>
        <v>1+75806,476971338i</v>
      </c>
      <c r="R536" s="4">
        <f t="shared" si="476"/>
        <v>75806.476977933737</v>
      </c>
      <c r="S536" s="4">
        <f t="shared" si="477"/>
        <v>1.5707831353099484</v>
      </c>
      <c r="T536" s="4" t="str">
        <f t="shared" si="465"/>
        <v>1+190,199715953816i</v>
      </c>
      <c r="U536" s="4">
        <f t="shared" si="478"/>
        <v>190.20234475135237</v>
      </c>
      <c r="V536" s="4">
        <f t="shared" si="479"/>
        <v>1.5655387438331729</v>
      </c>
      <c r="W536" t="str">
        <f t="shared" si="466"/>
        <v>1-37,8434558808935i</v>
      </c>
      <c r="X536" s="4">
        <f t="shared" si="480"/>
        <v>37.856665899272393</v>
      </c>
      <c r="Y536" s="4">
        <f t="shared" si="481"/>
        <v>-1.5443778266820893</v>
      </c>
      <c r="Z536" t="str">
        <f t="shared" si="467"/>
        <v>-8,16347061107114+5,19938475855057i</v>
      </c>
      <c r="AA536" s="4">
        <f t="shared" si="482"/>
        <v>9.6786287399233473</v>
      </c>
      <c r="AB536" s="4">
        <f t="shared" si="483"/>
        <v>2.5744756354219867</v>
      </c>
      <c r="AC536" s="47" t="str">
        <f t="shared" si="484"/>
        <v>-0,297528377837034+0,446013694906012i</v>
      </c>
      <c r="AD536" s="20">
        <f t="shared" si="485"/>
        <v>-5.4143564486114588</v>
      </c>
      <c r="AE536" s="43">
        <f t="shared" si="486"/>
        <v>123.7065986908555</v>
      </c>
      <c r="AF536" t="str">
        <f t="shared" si="468"/>
        <v>171,265703090588</v>
      </c>
      <c r="AG536" t="str">
        <f t="shared" si="469"/>
        <v>1+75081,0076649285i</v>
      </c>
      <c r="AH536">
        <f t="shared" si="487"/>
        <v>75081.00767158797</v>
      </c>
      <c r="AI536">
        <f t="shared" si="488"/>
        <v>1.5707830078473886</v>
      </c>
      <c r="AJ536" t="str">
        <f t="shared" si="470"/>
        <v>1+190,199715953816i</v>
      </c>
      <c r="AK536">
        <f t="shared" si="489"/>
        <v>190.20234475135237</v>
      </c>
      <c r="AL536">
        <f t="shared" si="490"/>
        <v>1.5655387438331729</v>
      </c>
      <c r="AM536" t="str">
        <f t="shared" si="471"/>
        <v>1-11,9560550250047i</v>
      </c>
      <c r="AN536">
        <f t="shared" si="491"/>
        <v>11.997801955397501</v>
      </c>
      <c r="AO536">
        <f t="shared" si="492"/>
        <v>-1.4873509198912744</v>
      </c>
      <c r="AP536" s="41" t="str">
        <f t="shared" si="493"/>
        <v>0,406656974864688-5,18953639910283i</v>
      </c>
      <c r="AQ536">
        <f t="shared" si="494"/>
        <v>14.329157288507703</v>
      </c>
      <c r="AR536" s="43">
        <f t="shared" si="495"/>
        <v>-85.519404559337531</v>
      </c>
      <c r="AS536" t="str">
        <f t="shared" si="472"/>
        <v>-0,0000166666666666667</v>
      </c>
      <c r="AT536" t="str">
        <f t="shared" si="473"/>
        <v>0,0144741983840854i</v>
      </c>
      <c r="AU536">
        <f t="shared" si="496"/>
        <v>1.44741983840854E-2</v>
      </c>
      <c r="AV536">
        <f t="shared" si="497"/>
        <v>1.5707963267948966</v>
      </c>
      <c r="AW536" t="str">
        <f t="shared" si="474"/>
        <v>1+45,3630071558706i</v>
      </c>
      <c r="AX536">
        <f t="shared" si="498"/>
        <v>45.374028014091571</v>
      </c>
      <c r="AY536">
        <f t="shared" si="499"/>
        <v>1.548755502678514</v>
      </c>
      <c r="AZ536" t="str">
        <f t="shared" si="475"/>
        <v>1+3138,29531323796i</v>
      </c>
      <c r="BA536">
        <f t="shared" si="500"/>
        <v>3138.2954725601198</v>
      </c>
      <c r="BB536">
        <f t="shared" si="501"/>
        <v>1.5704776824780482</v>
      </c>
      <c r="BC536" s="41" t="str">
        <f t="shared" si="502"/>
        <v>-0,00172985608656475+0,0796229482791798i</v>
      </c>
      <c r="BD536">
        <f t="shared" si="503"/>
        <v>-21.977185514759565</v>
      </c>
      <c r="BE536" s="43">
        <f t="shared" si="504"/>
        <v>91.244589224337631</v>
      </c>
      <c r="BF536" s="41" t="str">
        <f t="shared" si="505"/>
        <v>-0,0349982440859801-0,0244616261449308i</v>
      </c>
      <c r="BG536" s="20">
        <f t="shared" si="506"/>
        <v>-27.391541963371033</v>
      </c>
      <c r="BH536" s="43">
        <f t="shared" si="507"/>
        <v>-145.04881208480683</v>
      </c>
      <c r="BI536" s="41" t="str">
        <f t="shared" si="460"/>
        <v>0,412502730255572+0,0413563784034561i</v>
      </c>
      <c r="BJ536" s="20">
        <f t="shared" si="508"/>
        <v>-7.64802822625186</v>
      </c>
      <c r="BK536" s="43">
        <f t="shared" si="461"/>
        <v>5.7251846650001017</v>
      </c>
      <c r="BL536">
        <f t="shared" si="509"/>
        <v>-27.391541963371033</v>
      </c>
      <c r="BM536" s="43">
        <f t="shared" si="510"/>
        <v>-145.04881208480683</v>
      </c>
    </row>
    <row r="537" spans="14:65" x14ac:dyDescent="0.25">
      <c r="N537" s="9">
        <v>19</v>
      </c>
      <c r="O537" s="34">
        <f t="shared" si="462"/>
        <v>1548816.6189124861</v>
      </c>
      <c r="P537" s="33" t="str">
        <f t="shared" si="463"/>
        <v>54,631621870174</v>
      </c>
      <c r="Q537" s="4" t="str">
        <f t="shared" si="464"/>
        <v>1+77572,2366542626i</v>
      </c>
      <c r="R537" s="4">
        <f t="shared" si="476"/>
        <v>77572.236660708208</v>
      </c>
      <c r="S537" s="4">
        <f t="shared" si="477"/>
        <v>1.5707834355848056</v>
      </c>
      <c r="T537" s="4" t="str">
        <f t="shared" si="465"/>
        <v>1+194,63003646933i</v>
      </c>
      <c r="U537" s="4">
        <f t="shared" si="478"/>
        <v>194.63260542892789</v>
      </c>
      <c r="V537" s="4">
        <f t="shared" si="479"/>
        <v>1.5656584189017526</v>
      </c>
      <c r="W537" t="str">
        <f t="shared" si="466"/>
        <v>1-38,7249432066042i</v>
      </c>
      <c r="X537" s="4">
        <f t="shared" si="480"/>
        <v>38.737852629627277</v>
      </c>
      <c r="Y537" s="4">
        <f t="shared" si="481"/>
        <v>-1.544978914869811</v>
      </c>
      <c r="Z537" t="str">
        <f t="shared" si="467"/>
        <v>-8,59533167607804+5,32049398759617i</v>
      </c>
      <c r="AA537" s="4">
        <f t="shared" si="482"/>
        <v>10.108777517278611</v>
      </c>
      <c r="AB537" s="4">
        <f t="shared" si="483"/>
        <v>2.5873209570727642</v>
      </c>
      <c r="AC537" s="47" t="str">
        <f t="shared" si="484"/>
        <v>-0,285649325328225+0,440820596565985i</v>
      </c>
      <c r="AD537" s="20">
        <f t="shared" si="485"/>
        <v>-5.5921943868009327</v>
      </c>
      <c r="AE537" s="43">
        <f t="shared" si="486"/>
        <v>122.94301582936679</v>
      </c>
      <c r="AF537" t="str">
        <f t="shared" si="468"/>
        <v>171,265703090588</v>
      </c>
      <c r="AG537" t="str">
        <f t="shared" si="469"/>
        <v>1+76829,8689968991i</v>
      </c>
      <c r="AH537">
        <f t="shared" si="487"/>
        <v>76829.869003406973</v>
      </c>
      <c r="AI537">
        <f t="shared" si="488"/>
        <v>1.5707833110236478</v>
      </c>
      <c r="AJ537" t="str">
        <f t="shared" si="470"/>
        <v>1+194,63003646933i</v>
      </c>
      <c r="AK537">
        <f t="shared" si="489"/>
        <v>194.63260542892789</v>
      </c>
      <c r="AL537">
        <f t="shared" si="490"/>
        <v>1.5656584189017526</v>
      </c>
      <c r="AM537" t="str">
        <f t="shared" si="471"/>
        <v>1-12,2345473224104i</v>
      </c>
      <c r="AN537">
        <f t="shared" si="491"/>
        <v>12.275347171640378</v>
      </c>
      <c r="AO537">
        <f t="shared" si="492"/>
        <v>-1.4892418608723685</v>
      </c>
      <c r="AP537" s="41" t="str">
        <f t="shared" si="493"/>
        <v>0,406656973500539-5,31031142298845i</v>
      </c>
      <c r="AQ537">
        <f t="shared" si="494"/>
        <v>14.527793781928724</v>
      </c>
      <c r="AR537" s="43">
        <f t="shared" si="495"/>
        <v>-85.620907991240088</v>
      </c>
      <c r="AS537" t="str">
        <f t="shared" si="472"/>
        <v>-0,0000166666666666667</v>
      </c>
      <c r="AT537" t="str">
        <f t="shared" si="473"/>
        <v>0,014811345775316i</v>
      </c>
      <c r="AU537">
        <f t="shared" si="496"/>
        <v>1.4811345775316001E-2</v>
      </c>
      <c r="AV537">
        <f t="shared" si="497"/>
        <v>1.5707963267948966</v>
      </c>
      <c r="AW537" t="str">
        <f t="shared" si="474"/>
        <v>1+46,4196473313842i</v>
      </c>
      <c r="AX537">
        <f t="shared" si="498"/>
        <v>46.430417383113024</v>
      </c>
      <c r="AY537">
        <f t="shared" si="499"/>
        <v>1.5492570561203085</v>
      </c>
      <c r="AZ537" t="str">
        <f t="shared" si="475"/>
        <v>1+3211,39560174395i</v>
      </c>
      <c r="BA537">
        <f t="shared" si="500"/>
        <v>3211.3957574394944</v>
      </c>
      <c r="BB537">
        <f t="shared" si="501"/>
        <v>1.5704849357077519</v>
      </c>
      <c r="BC537" s="41" t="str">
        <f t="shared" si="502"/>
        <v>-0,00165203585265646+0,0778121851510018i</v>
      </c>
      <c r="BD537">
        <f t="shared" si="503"/>
        <v>-22.177090592590002</v>
      </c>
      <c r="BE537" s="43">
        <f t="shared" si="504"/>
        <v>91.216267908372402</v>
      </c>
      <c r="BF537" s="41" t="str">
        <f t="shared" si="505"/>
        <v>-0,0338293109516381-0,022955249620815i</v>
      </c>
      <c r="BG537" s="20">
        <f t="shared" si="506"/>
        <v>-27.769284979390939</v>
      </c>
      <c r="BH537" s="43">
        <f t="shared" si="507"/>
        <v>-145.8407162622608</v>
      </c>
      <c r="BI537" s="41" t="str">
        <f t="shared" si="460"/>
        <v>0,412535123755101+0,040415692574518i</v>
      </c>
      <c r="BJ537" s="20">
        <f t="shared" si="508"/>
        <v>-7.6492968106612871</v>
      </c>
      <c r="BK537" s="43">
        <f t="shared" si="461"/>
        <v>5.5953599171323347</v>
      </c>
      <c r="BL537">
        <f t="shared" si="509"/>
        <v>-27.769284979390939</v>
      </c>
      <c r="BM537" s="43">
        <f t="shared" si="510"/>
        <v>-145.8407162622608</v>
      </c>
    </row>
    <row r="538" spans="14:65" x14ac:dyDescent="0.25">
      <c r="N538" s="9">
        <v>20</v>
      </c>
      <c r="O538" s="34">
        <f t="shared" si="462"/>
        <v>1584893.1924611153</v>
      </c>
      <c r="P538" s="33" t="str">
        <f t="shared" si="463"/>
        <v>54,631621870174</v>
      </c>
      <c r="Q538" s="4" t="str">
        <f t="shared" si="464"/>
        <v>1+79379,126163851i</v>
      </c>
      <c r="R538" s="4">
        <f t="shared" si="476"/>
        <v>79379.126170149888</v>
      </c>
      <c r="S538" s="4">
        <f t="shared" si="477"/>
        <v>1.5707837290245725</v>
      </c>
      <c r="T538" s="4" t="str">
        <f t="shared" si="465"/>
        <v>1+199,163552406413i</v>
      </c>
      <c r="U538" s="4">
        <f t="shared" si="478"/>
        <v>199.16606289009684</v>
      </c>
      <c r="V538" s="4">
        <f t="shared" si="479"/>
        <v>1.5657753699754005</v>
      </c>
      <c r="W538" t="str">
        <f t="shared" si="466"/>
        <v>1-39,6269630097882i</v>
      </c>
      <c r="X538" s="4">
        <f t="shared" si="480"/>
        <v>39.639578673077779</v>
      </c>
      <c r="Y538" s="4">
        <f t="shared" si="481"/>
        <v>-1.545566338651533</v>
      </c>
      <c r="Z538" t="str">
        <f t="shared" si="467"/>
        <v>-9,0475457260384+5,44442421297903i</v>
      </c>
      <c r="AA538" s="4">
        <f t="shared" si="482"/>
        <v>10.559348402038266</v>
      </c>
      <c r="AB538" s="4">
        <f t="shared" si="483"/>
        <v>2.5998822234823007</v>
      </c>
      <c r="AC538" s="47" t="str">
        <f t="shared" si="484"/>
        <v>-0,274174652230488+0,435443721877152i</v>
      </c>
      <c r="AD538" s="20">
        <f t="shared" si="485"/>
        <v>-5.771099428248581</v>
      </c>
      <c r="AE538" s="43">
        <f t="shared" si="486"/>
        <v>122.19633536535201</v>
      </c>
      <c r="AF538" t="str">
        <f t="shared" si="468"/>
        <v>171,265703090588</v>
      </c>
      <c r="AG538" t="str">
        <f t="shared" si="469"/>
        <v>1+78619,466542375i</v>
      </c>
      <c r="AH538">
        <f t="shared" si="487"/>
        <v>78619.466548734737</v>
      </c>
      <c r="AI538">
        <f t="shared" si="488"/>
        <v>1.5707836072987726</v>
      </c>
      <c r="AJ538" t="str">
        <f t="shared" si="470"/>
        <v>1+199,163552406413i</v>
      </c>
      <c r="AK538">
        <f t="shared" si="489"/>
        <v>199.16606289009684</v>
      </c>
      <c r="AL538">
        <f t="shared" si="490"/>
        <v>1.5657753699754005</v>
      </c>
      <c r="AM538" t="str">
        <f t="shared" si="471"/>
        <v>1-12,5195265387498i</v>
      </c>
      <c r="AN538">
        <f t="shared" si="491"/>
        <v>12.559400652676883</v>
      </c>
      <c r="AO538">
        <f t="shared" si="492"/>
        <v>-1.4910903237646416</v>
      </c>
      <c r="AP538" s="41" t="str">
        <f t="shared" si="493"/>
        <v>0,406656972197788-5,43390204428083i</v>
      </c>
      <c r="AQ538">
        <f t="shared" si="494"/>
        <v>14.726491246670788</v>
      </c>
      <c r="AR538" s="43">
        <f t="shared" si="495"/>
        <v>-85.720133285938573</v>
      </c>
      <c r="AS538" t="str">
        <f t="shared" si="472"/>
        <v>-0,0000166666666666667</v>
      </c>
      <c r="AT538" t="str">
        <f t="shared" si="473"/>
        <v>0,015156346338128i</v>
      </c>
      <c r="AU538">
        <f t="shared" si="496"/>
        <v>1.5156346338128001E-2</v>
      </c>
      <c r="AV538">
        <f t="shared" si="497"/>
        <v>1.5707963267948966</v>
      </c>
      <c r="AW538" t="str">
        <f t="shared" si="474"/>
        <v>1+47,5008998183494i</v>
      </c>
      <c r="AX538">
        <f t="shared" si="498"/>
        <v>47.511424768710803</v>
      </c>
      <c r="AY538">
        <f t="shared" si="499"/>
        <v>1.5497472032850788</v>
      </c>
      <c r="AZ538" t="str">
        <f t="shared" si="475"/>
        <v>1+3286,19861470581i</v>
      </c>
      <c r="BA538">
        <f t="shared" si="500"/>
        <v>3286.198766857292</v>
      </c>
      <c r="BB538">
        <f t="shared" si="501"/>
        <v>1.5704920238338222</v>
      </c>
      <c r="BC538" s="41" t="str">
        <f t="shared" si="502"/>
        <v>-0,00157771492990172+0,07604252819483i</v>
      </c>
      <c r="BD538">
        <f t="shared" si="503"/>
        <v>-22.376999940684257</v>
      </c>
      <c r="BE538" s="43">
        <f t="shared" si="504"/>
        <v>91.188590664199268</v>
      </c>
      <c r="BF538" s="41" t="str">
        <f t="shared" si="505"/>
        <v>-0,0326796720558804-0,0215359397836821i</v>
      </c>
      <c r="BG538" s="20">
        <f t="shared" si="506"/>
        <v>-28.148099368932847</v>
      </c>
      <c r="BH538" s="43">
        <f t="shared" si="507"/>
        <v>-146.61507397044878</v>
      </c>
      <c r="BI538" s="41" t="str">
        <f t="shared" si="460"/>
        <v>0,412566060633784+0,0394963726568598i</v>
      </c>
      <c r="BJ538" s="20">
        <f t="shared" si="508"/>
        <v>-7.6505086940134799</v>
      </c>
      <c r="BK538" s="43">
        <f t="shared" si="461"/>
        <v>5.4684573782607009</v>
      </c>
      <c r="BL538">
        <f t="shared" si="509"/>
        <v>-28.148099368932847</v>
      </c>
      <c r="BM538" s="43">
        <f t="shared" si="510"/>
        <v>-146.61507397044878</v>
      </c>
    </row>
    <row r="539" spans="14:65" x14ac:dyDescent="0.25">
      <c r="N539" s="9">
        <v>21</v>
      </c>
      <c r="O539" s="34">
        <f t="shared" si="462"/>
        <v>1621810.0973589318</v>
      </c>
      <c r="P539" s="33" t="str">
        <f t="shared" si="463"/>
        <v>54,631621870174</v>
      </c>
      <c r="Q539" s="4" t="str">
        <f t="shared" si="464"/>
        <v>1+81228,1035368383i</v>
      </c>
      <c r="R539" s="4">
        <f t="shared" si="476"/>
        <v>81228.103542993806</v>
      </c>
      <c r="S539" s="4">
        <f t="shared" si="477"/>
        <v>1.5707840157848347</v>
      </c>
      <c r="T539" s="4" t="str">
        <f t="shared" si="465"/>
        <v>1+203,802667495222i</v>
      </c>
      <c r="U539" s="4">
        <f t="shared" si="478"/>
        <v>203.80512083401638</v>
      </c>
      <c r="V539" s="4">
        <f t="shared" si="479"/>
        <v>1.5658896590503191</v>
      </c>
      <c r="W539" t="str">
        <f t="shared" si="466"/>
        <v>1-40,5499935532848i</v>
      </c>
      <c r="X539" s="4">
        <f t="shared" si="480"/>
        <v>40.562322137316528</v>
      </c>
      <c r="Y539" s="4">
        <f t="shared" si="481"/>
        <v>-1.5461404078645882</v>
      </c>
      <c r="Z539" t="str">
        <f t="shared" si="467"/>
        <v>-9,5210719675815+5,57124114414508i</v>
      </c>
      <c r="AA539" s="4">
        <f t="shared" si="482"/>
        <v>11.031298169212961</v>
      </c>
      <c r="AB539" s="4">
        <f t="shared" si="483"/>
        <v>2.6121649410177934</v>
      </c>
      <c r="AC539" s="47" t="str">
        <f t="shared" si="484"/>
        <v>-0,263097150996442+0,429904125010086i</v>
      </c>
      <c r="AD539" s="20">
        <f t="shared" si="485"/>
        <v>-5.9510188337238725</v>
      </c>
      <c r="AE539" s="43">
        <f t="shared" si="486"/>
        <v>121.46622759804498</v>
      </c>
      <c r="AF539" t="str">
        <f t="shared" si="468"/>
        <v>171,265703090588</v>
      </c>
      <c r="AG539" t="str">
        <f t="shared" si="469"/>
        <v>1+80450,7491696633i</v>
      </c>
      <c r="AH539">
        <f t="shared" si="487"/>
        <v>80450.749175878271</v>
      </c>
      <c r="AI539">
        <f t="shared" si="488"/>
        <v>1.5707838968298526</v>
      </c>
      <c r="AJ539" t="str">
        <f t="shared" si="470"/>
        <v>1+203,802667495222i</v>
      </c>
      <c r="AK539">
        <f t="shared" si="489"/>
        <v>203.80512083401638</v>
      </c>
      <c r="AL539">
        <f t="shared" si="490"/>
        <v>1.5658896590503191</v>
      </c>
      <c r="AM539" t="str">
        <f t="shared" si="471"/>
        <v>1-12,8111437737755i</v>
      </c>
      <c r="AN539">
        <f t="shared" si="491"/>
        <v>12.850113026442482</v>
      </c>
      <c r="AO539">
        <f t="shared" si="492"/>
        <v>-1.4928972380925751</v>
      </c>
      <c r="AP539" s="41" t="str">
        <f t="shared" si="493"/>
        <v>0,406656970953669-5,56037379236322i</v>
      </c>
      <c r="AQ539">
        <f t="shared" si="494"/>
        <v>14.925246973251078</v>
      </c>
      <c r="AR539" s="43">
        <f t="shared" si="495"/>
        <v>-85.81713015814249</v>
      </c>
      <c r="AS539" t="str">
        <f t="shared" si="472"/>
        <v>-0,0000166666666666667</v>
      </c>
      <c r="AT539" t="str">
        <f t="shared" si="473"/>
        <v>0,0155093829963864i</v>
      </c>
      <c r="AU539">
        <f t="shared" si="496"/>
        <v>1.5509382996386401E-2</v>
      </c>
      <c r="AV539">
        <f t="shared" si="497"/>
        <v>1.5707963267948966</v>
      </c>
      <c r="AW539" t="str">
        <f t="shared" si="474"/>
        <v>1+48,6073379111469i</v>
      </c>
      <c r="AX539">
        <f t="shared" si="498"/>
        <v>48.617623335663154</v>
      </c>
      <c r="AY539">
        <f t="shared" si="499"/>
        <v>1.5502262031127587</v>
      </c>
      <c r="AZ539" t="str">
        <f t="shared" si="475"/>
        <v>1+3362,74401367116i</v>
      </c>
      <c r="BA539">
        <f t="shared" si="500"/>
        <v>3362.7441623592513</v>
      </c>
      <c r="BB539">
        <f t="shared" si="501"/>
        <v>1.5704989506144746</v>
      </c>
      <c r="BC539" s="41" t="str">
        <f t="shared" si="502"/>
        <v>-0,00150673610265584+0,074313049176789i</v>
      </c>
      <c r="BD539">
        <f t="shared" si="503"/>
        <v>-22.576913367019227</v>
      </c>
      <c r="BE539" s="43">
        <f t="shared" si="504"/>
        <v>91.1615428709827</v>
      </c>
      <c r="BF539" s="41" t="str">
        <f t="shared" si="505"/>
        <v>-0,0315510684072667-0,020199303586105i</v>
      </c>
      <c r="BG539" s="20">
        <f t="shared" si="506"/>
        <v>-28.527932200743113</v>
      </c>
      <c r="BH539" s="43">
        <f t="shared" si="507"/>
        <v>-147.37222953097231</v>
      </c>
      <c r="BI539" s="41" t="str">
        <f t="shared" si="460"/>
        <v>0,412595606333684+0,0385979354177791i</v>
      </c>
      <c r="BJ539" s="20">
        <f t="shared" si="508"/>
        <v>-7.6516663937681537</v>
      </c>
      <c r="BK539" s="43">
        <f t="shared" si="461"/>
        <v>5.344412712840219</v>
      </c>
      <c r="BL539">
        <f t="shared" si="509"/>
        <v>-28.527932200743113</v>
      </c>
      <c r="BM539" s="43">
        <f t="shared" si="510"/>
        <v>-147.37222953097231</v>
      </c>
    </row>
    <row r="540" spans="14:65" x14ac:dyDescent="0.25">
      <c r="N540" s="9">
        <v>22</v>
      </c>
      <c r="O540" s="34">
        <f t="shared" si="462"/>
        <v>1659586.9074375622</v>
      </c>
      <c r="P540" s="33" t="str">
        <f t="shared" si="463"/>
        <v>54,631621870174</v>
      </c>
      <c r="Q540" s="4" t="str">
        <f t="shared" si="464"/>
        <v>1+83120,1491255025i</v>
      </c>
      <c r="R540" s="4">
        <f t="shared" si="476"/>
        <v>83120.149131517886</v>
      </c>
      <c r="S540" s="4">
        <f t="shared" si="477"/>
        <v>1.5707842960176366</v>
      </c>
      <c r="T540" s="4" t="str">
        <f t="shared" si="465"/>
        <v>1+208,549841455986i</v>
      </c>
      <c r="U540" s="4">
        <f t="shared" si="478"/>
        <v>208.55223895062099</v>
      </c>
      <c r="V540" s="4">
        <f t="shared" si="479"/>
        <v>1.5660013467121396</v>
      </c>
      <c r="W540" t="str">
        <f t="shared" si="466"/>
        <v>1-41,4945242401062i</v>
      </c>
      <c r="X540" s="4">
        <f t="shared" si="480"/>
        <v>41.506572273710596</v>
      </c>
      <c r="Y540" s="4">
        <f t="shared" si="481"/>
        <v>-1.5467014253737041</v>
      </c>
      <c r="Z540" t="str">
        <f t="shared" si="467"/>
        <v>-10,0169148133527+5,7010120211099i</v>
      </c>
      <c r="AA540" s="4">
        <f t="shared" si="482"/>
        <v>11.525628852379567</v>
      </c>
      <c r="AB540" s="4">
        <f t="shared" si="483"/>
        <v>2.6241745926041817</v>
      </c>
      <c r="AC540" s="47" t="str">
        <f t="shared" si="484"/>
        <v>-0,252409048478239+0,424221623868474i</v>
      </c>
      <c r="AD540" s="20">
        <f t="shared" si="485"/>
        <v>-6.1319024805990328</v>
      </c>
      <c r="AE540" s="43">
        <f t="shared" si="486"/>
        <v>120.75236448870635</v>
      </c>
      <c r="AF540" t="str">
        <f t="shared" si="468"/>
        <v>171,265703090588</v>
      </c>
      <c r="AG540" t="str">
        <f t="shared" si="469"/>
        <v>1+82324,6878490534i</v>
      </c>
      <c r="AH540">
        <f t="shared" si="487"/>
        <v>82324.687855126918</v>
      </c>
      <c r="AI540">
        <f t="shared" si="488"/>
        <v>1.5707841797704003</v>
      </c>
      <c r="AJ540" t="str">
        <f t="shared" si="470"/>
        <v>1+208,549841455986i</v>
      </c>
      <c r="AK540">
        <f t="shared" si="489"/>
        <v>208.55223895062099</v>
      </c>
      <c r="AL540">
        <f t="shared" si="490"/>
        <v>1.5660013467121396</v>
      </c>
      <c r="AM540" t="str">
        <f t="shared" si="471"/>
        <v>1-13,1095536468058i</v>
      </c>
      <c r="AN540">
        <f t="shared" si="491"/>
        <v>13.147638450249508</v>
      </c>
      <c r="AO540">
        <f t="shared" si="492"/>
        <v>-1.4946635146839962</v>
      </c>
      <c r="AP540" s="41" t="str">
        <f t="shared" si="493"/>
        <v>0,406656969765544-5,68979372423067i</v>
      </c>
      <c r="AQ540">
        <f t="shared" si="494"/>
        <v>15.124058371110358</v>
      </c>
      <c r="AR540" s="43">
        <f t="shared" si="495"/>
        <v>-85.911947331936929</v>
      </c>
      <c r="AS540" t="str">
        <f t="shared" si="472"/>
        <v>-0,0000166666666666667</v>
      </c>
      <c r="AT540" t="str">
        <f t="shared" si="473"/>
        <v>0,0158706429348005i</v>
      </c>
      <c r="AU540">
        <f t="shared" si="496"/>
        <v>1.5870642934800502E-2</v>
      </c>
      <c r="AV540">
        <f t="shared" si="497"/>
        <v>1.5707963267948966</v>
      </c>
      <c r="AW540" t="str">
        <f t="shared" si="474"/>
        <v>1+49,7395482578994i</v>
      </c>
      <c r="AX540">
        <f t="shared" si="498"/>
        <v>49.749599605422986</v>
      </c>
      <c r="AY540">
        <f t="shared" si="499"/>
        <v>1.5506943086956768</v>
      </c>
      <c r="AZ540" t="str">
        <f t="shared" si="475"/>
        <v>1+3441,07238402377i</v>
      </c>
      <c r="BA540">
        <f t="shared" si="500"/>
        <v>3441.0725293273072</v>
      </c>
      <c r="BB540">
        <f t="shared" si="501"/>
        <v>1.5705057197223771</v>
      </c>
      <c r="BC540" s="41" t="str">
        <f t="shared" si="502"/>
        <v>-0,00143894920659166+0,0726228404952645i</v>
      </c>
      <c r="BD540">
        <f t="shared" si="503"/>
        <v>-22.776830688199233</v>
      </c>
      <c r="BE540" s="43">
        <f t="shared" si="504"/>
        <v>91.135110238028872</v>
      </c>
      <c r="BF540" s="41" t="str">
        <f t="shared" si="505"/>
        <v>-0,030444975524798-0,0189410954362812i</v>
      </c>
      <c r="BG540" s="20">
        <f t="shared" si="506"/>
        <v>-28.90873316879826</v>
      </c>
      <c r="BH540" s="43">
        <f t="shared" si="507"/>
        <v>-148.11252527326479</v>
      </c>
      <c r="BI540" s="41" t="str">
        <f t="shared" si="460"/>
        <v>0,412623823361762+0,0377199084167226i</v>
      </c>
      <c r="BJ540" s="20">
        <f t="shared" si="508"/>
        <v>-7.6527723170888748</v>
      </c>
      <c r="BK540" s="43">
        <f t="shared" si="461"/>
        <v>5.2231629060919467</v>
      </c>
      <c r="BL540">
        <f t="shared" si="509"/>
        <v>-28.90873316879826</v>
      </c>
      <c r="BM540" s="43">
        <f t="shared" si="510"/>
        <v>-148.11252527326479</v>
      </c>
    </row>
    <row r="541" spans="14:65" x14ac:dyDescent="0.25">
      <c r="N541" s="9">
        <v>23</v>
      </c>
      <c r="O541" s="34">
        <f t="shared" si="462"/>
        <v>1698243.6524617488</v>
      </c>
      <c r="P541" s="33" t="str">
        <f t="shared" si="463"/>
        <v>54,631621870174</v>
      </c>
      <c r="Q541" s="4" t="str">
        <f t="shared" si="464"/>
        <v>1+85056,2661174584i</v>
      </c>
      <c r="R541" s="4">
        <f t="shared" si="476"/>
        <v>85056.266123336871</v>
      </c>
      <c r="S541" s="4">
        <f t="shared" si="477"/>
        <v>1.570784569871561</v>
      </c>
      <c r="T541" s="4" t="str">
        <f t="shared" si="465"/>
        <v>1+213,407591303174i</v>
      </c>
      <c r="U541" s="4">
        <f t="shared" si="478"/>
        <v>213.40993422477445</v>
      </c>
      <c r="V541" s="4">
        <f t="shared" si="479"/>
        <v>1.5661104921679865</v>
      </c>
      <c r="W541" t="str">
        <f t="shared" si="466"/>
        <v>1-42,4610558729248i</v>
      </c>
      <c r="X541" s="4">
        <f t="shared" si="480"/>
        <v>42.472829736710992</v>
      </c>
      <c r="Y541" s="4">
        <f t="shared" si="481"/>
        <v>-1.5472496872243802</v>
      </c>
      <c r="Z541" t="str">
        <f t="shared" si="467"/>
        <v>-10,5361260125066+5,83380565011013i</v>
      </c>
      <c r="AA541" s="4">
        <f t="shared" si="482"/>
        <v>12.04338987638759</v>
      </c>
      <c r="AB541" s="4">
        <f t="shared" si="483"/>
        <v>2.6359166282014326</v>
      </c>
      <c r="AC541" s="47" t="str">
        <f t="shared" si="484"/>
        <v>-0,242102097377174+0,418414838130603i</v>
      </c>
      <c r="AD541" s="20">
        <f t="shared" si="485"/>
        <v>-6.3137027439180269</v>
      </c>
      <c r="AE541" s="43">
        <f t="shared" si="486"/>
        <v>120.05442019927868</v>
      </c>
      <c r="AF541" t="str">
        <f t="shared" si="468"/>
        <v>171,265703090588</v>
      </c>
      <c r="AG541" t="str">
        <f t="shared" si="469"/>
        <v>1+84242,2761676374i</v>
      </c>
      <c r="AH541">
        <f t="shared" si="487"/>
        <v>84242.276173572682</v>
      </c>
      <c r="AI541">
        <f t="shared" si="488"/>
        <v>1.5707844562704349</v>
      </c>
      <c r="AJ541" t="str">
        <f t="shared" si="470"/>
        <v>1+213,407591303174i</v>
      </c>
      <c r="AK541">
        <f t="shared" si="489"/>
        <v>213.40993422477445</v>
      </c>
      <c r="AL541">
        <f t="shared" si="490"/>
        <v>1.5661104921679865</v>
      </c>
      <c r="AM541" t="str">
        <f t="shared" si="471"/>
        <v>1-13,414914378705i</v>
      </c>
      <c r="AN541">
        <f t="shared" si="491"/>
        <v>13.452134692604968</v>
      </c>
      <c r="AO541">
        <f t="shared" si="492"/>
        <v>-1.496390045935003</v>
      </c>
      <c r="AP541" s="41" t="str">
        <f t="shared" si="493"/>
        <v>0,406656968630894-5,82223046004399i</v>
      </c>
      <c r="AQ541">
        <f t="shared" si="494"/>
        <v>15.322922963522167</v>
      </c>
      <c r="AR541" s="43">
        <f t="shared" si="495"/>
        <v>-86.004632554129017</v>
      </c>
      <c r="AS541" t="str">
        <f t="shared" si="472"/>
        <v>-0,0000166666666666667</v>
      </c>
      <c r="AT541" t="str">
        <f t="shared" si="473"/>
        <v>0,0162403176981715i</v>
      </c>
      <c r="AU541">
        <f t="shared" si="496"/>
        <v>1.62403176981715E-2</v>
      </c>
      <c r="AV541">
        <f t="shared" si="497"/>
        <v>1.5707963267948966</v>
      </c>
      <c r="AW541" t="str">
        <f t="shared" si="474"/>
        <v>1+50,8981311715191i</v>
      </c>
      <c r="AX541">
        <f t="shared" si="498"/>
        <v>50.907953767099734</v>
      </c>
      <c r="AY541">
        <f t="shared" si="499"/>
        <v>1.5511517674085573</v>
      </c>
      <c r="AZ541" t="str">
        <f t="shared" si="475"/>
        <v>1+3521,22525650237i</v>
      </c>
      <c r="BA541">
        <f t="shared" si="500"/>
        <v>3521.2253984983954</v>
      </c>
      <c r="BB541">
        <f t="shared" si="501"/>
        <v>1.5705123347465977</v>
      </c>
      <c r="BC541" s="41" t="str">
        <f t="shared" si="502"/>
        <v>-0,00137421081349531+0,0709710147443361i</v>
      </c>
      <c r="BD541">
        <f t="shared" si="503"/>
        <v>-22.976751729069203</v>
      </c>
      <c r="BE541" s="43">
        <f t="shared" si="504"/>
        <v>91.109278797448525</v>
      </c>
      <c r="BF541" s="41" t="str">
        <f t="shared" si="505"/>
        <v>-0,0293626263260304-0,0177572217176761i</v>
      </c>
      <c r="BG541" s="20">
        <f t="shared" si="506"/>
        <v>-29.290454472987232</v>
      </c>
      <c r="BH541" s="43">
        <f t="shared" si="507"/>
        <v>-148.83630100327272</v>
      </c>
      <c r="BI541" s="41" t="str">
        <f t="shared" si="460"/>
        <v>0,412650771421029+0,0368618297734444i</v>
      </c>
      <c r="BJ541" s="20">
        <f t="shared" si="508"/>
        <v>-7.6538287655470336</v>
      </c>
      <c r="BK541" s="43">
        <f t="shared" si="461"/>
        <v>5.1046462433195323</v>
      </c>
      <c r="BL541">
        <f t="shared" si="509"/>
        <v>-29.290454472987232</v>
      </c>
      <c r="BM541" s="43">
        <f t="shared" si="510"/>
        <v>-148.83630100327272</v>
      </c>
    </row>
    <row r="542" spans="14:65" x14ac:dyDescent="0.25">
      <c r="N542" s="9">
        <v>24</v>
      </c>
      <c r="O542" s="34">
        <f t="shared" si="462"/>
        <v>1737800.8287493798</v>
      </c>
      <c r="P542" s="33" t="str">
        <f t="shared" si="463"/>
        <v>54,631621870174</v>
      </c>
      <c r="Q542" s="4" t="str">
        <f t="shared" si="464"/>
        <v>1+87037,4810675617i</v>
      </c>
      <c r="R542" s="4">
        <f t="shared" si="476"/>
        <v>87037.481073306364</v>
      </c>
      <c r="S542" s="4">
        <f t="shared" si="477"/>
        <v>1.5707848374918092</v>
      </c>
      <c r="T542" s="4" t="str">
        <f t="shared" si="465"/>
        <v>1+218,378492680052i</v>
      </c>
      <c r="U542" s="4">
        <f t="shared" si="478"/>
        <v>218.38078227081141</v>
      </c>
      <c r="V542" s="4">
        <f t="shared" si="479"/>
        <v>1.5662171532778173</v>
      </c>
      <c r="W542" t="str">
        <f t="shared" si="466"/>
        <v>1-43,4501009196053i</v>
      </c>
      <c r="X542" s="4">
        <f t="shared" si="480"/>
        <v>43.461606849308794</v>
      </c>
      <c r="Y542" s="4">
        <f t="shared" si="481"/>
        <v>-1.5477854827931303</v>
      </c>
      <c r="Z542" t="str">
        <f t="shared" si="467"/>
        <v>-11,0798068816081+5,96969244008553i</v>
      </c>
      <c r="AA542" s="4">
        <f t="shared" si="482"/>
        <v>12.585680290033769</v>
      </c>
      <c r="AB542" s="4">
        <f t="shared" si="483"/>
        <v>2.6473964564013035</v>
      </c>
      <c r="AC542" s="47" t="str">
        <f t="shared" si="484"/>
        <v>-0,232167659666603+0,412501230043766i</v>
      </c>
      <c r="AD542" s="20">
        <f t="shared" si="485"/>
        <v>-6.4963743806465688</v>
      </c>
      <c r="AE542" s="43">
        <f t="shared" si="486"/>
        <v>119.37207156704028</v>
      </c>
      <c r="AF542" t="str">
        <f t="shared" si="468"/>
        <v>171,265703090588</v>
      </c>
      <c r="AG542" t="str">
        <f t="shared" si="469"/>
        <v>1+86204,5308561228i</v>
      </c>
      <c r="AH542">
        <f t="shared" si="487"/>
        <v>86204.530861922962</v>
      </c>
      <c r="AI542">
        <f t="shared" si="488"/>
        <v>1.5707847264765604</v>
      </c>
      <c r="AJ542" t="str">
        <f t="shared" si="470"/>
        <v>1+218,378492680052i</v>
      </c>
      <c r="AK542">
        <f t="shared" si="489"/>
        <v>218.38078227081141</v>
      </c>
      <c r="AL542">
        <f t="shared" si="490"/>
        <v>1.5662171532778173</v>
      </c>
      <c r="AM542" t="str">
        <f t="shared" si="471"/>
        <v>1-13,7273878757751i</v>
      </c>
      <c r="AN542">
        <f t="shared" si="491"/>
        <v>13.763763216939516</v>
      </c>
      <c r="AO542">
        <f t="shared" si="492"/>
        <v>-1.4980777060792019</v>
      </c>
      <c r="AP542" s="41" t="str">
        <f t="shared" si="493"/>
        <v>0,406656967547312-5,95775421951354i</v>
      </c>
      <c r="AQ542">
        <f t="shared" si="494"/>
        <v>15.521838382710087</v>
      </c>
      <c r="AR542" s="43">
        <f t="shared" si="495"/>
        <v>-86.095232607883148</v>
      </c>
      <c r="AS542" t="str">
        <f t="shared" si="472"/>
        <v>-0,0000166666666666667</v>
      </c>
      <c r="AT542" t="str">
        <f t="shared" si="473"/>
        <v>0,016618603292952i</v>
      </c>
      <c r="AU542">
        <f t="shared" si="496"/>
        <v>1.6618603292951999E-2</v>
      </c>
      <c r="AV542">
        <f t="shared" si="497"/>
        <v>1.5707963267948966</v>
      </c>
      <c r="AW542" t="str">
        <f t="shared" si="474"/>
        <v>1+52,0837009480019i</v>
      </c>
      <c r="AX542">
        <f t="shared" si="498"/>
        <v>52.093299995689399</v>
      </c>
      <c r="AY542">
        <f t="shared" si="499"/>
        <v>1.5515988210357723</v>
      </c>
      <c r="AZ542" t="str">
        <f t="shared" si="475"/>
        <v>1+3603,24512922086i</v>
      </c>
      <c r="BA542">
        <f t="shared" si="500"/>
        <v>3603.2452679846606</v>
      </c>
      <c r="BB542">
        <f t="shared" si="501"/>
        <v>1.5705187991945075</v>
      </c>
      <c r="BC542" s="41" t="str">
        <f t="shared" si="502"/>
        <v>-0,00131238393005909+0,0693567042849523i</v>
      </c>
      <c r="BD542">
        <f t="shared" si="503"/>
        <v>-23.176676322344704</v>
      </c>
      <c r="BE542" s="43">
        <f t="shared" si="504"/>
        <v>91.084034896975226</v>
      </c>
      <c r="BF542" s="41" t="str">
        <f t="shared" si="505"/>
        <v>-0,0283050327236987-0,0166437437014651i</v>
      </c>
      <c r="BG542" s="20">
        <f t="shared" si="506"/>
        <v>-29.673050702991262</v>
      </c>
      <c r="BH542" s="43">
        <f t="shared" si="507"/>
        <v>-149.54389353598447</v>
      </c>
      <c r="BI542" s="41" t="str">
        <f t="shared" si="460"/>
        <v>0,412676507535972+0,0360232479405257i</v>
      </c>
      <c r="BJ542" s="20">
        <f t="shared" si="508"/>
        <v>-7.6548379396346071</v>
      </c>
      <c r="BK542" s="43">
        <f t="shared" si="461"/>
        <v>4.9888022890920851</v>
      </c>
      <c r="BL542">
        <f t="shared" si="509"/>
        <v>-29.673050702991262</v>
      </c>
      <c r="BM542" s="43">
        <f t="shared" si="510"/>
        <v>-149.54389353598447</v>
      </c>
    </row>
    <row r="543" spans="14:65" x14ac:dyDescent="0.25">
      <c r="N543" s="9">
        <v>25</v>
      </c>
      <c r="O543" s="34">
        <f t="shared" si="462"/>
        <v>1778279.4100389241</v>
      </c>
      <c r="P543" s="33" t="str">
        <f t="shared" si="463"/>
        <v>54,631621870174</v>
      </c>
      <c r="Q543" s="4" t="str">
        <f t="shared" si="464"/>
        <v>1+89064,8444422042i</v>
      </c>
      <c r="R543" s="4">
        <f t="shared" si="476"/>
        <v>89064.844447818075</v>
      </c>
      <c r="S543" s="4">
        <f t="shared" si="477"/>
        <v>1.5707850990202767</v>
      </c>
      <c r="T543" s="4" t="str">
        <f t="shared" si="465"/>
        <v>1+223,46518122433i</v>
      </c>
      <c r="U543" s="4">
        <f t="shared" si="478"/>
        <v>223.46741869816873</v>
      </c>
      <c r="V543" s="4">
        <f t="shared" si="479"/>
        <v>1.5663213865850514</v>
      </c>
      <c r="W543" t="str">
        <f t="shared" si="466"/>
        <v>1-44,4621837849234i</v>
      </c>
      <c r="X543" s="4">
        <f t="shared" si="480"/>
        <v>44.473427874679338</v>
      </c>
      <c r="Y543" s="4">
        <f t="shared" si="481"/>
        <v>-1.5483090949346361</v>
      </c>
      <c r="Z543" t="str">
        <f t="shared" si="467"/>
        <v>-11,6491106406735+6,10874444001089i</v>
      </c>
      <c r="AA543" s="4">
        <f t="shared" si="482"/>
        <v>13.153651103477563</v>
      </c>
      <c r="AB543" s="4">
        <f t="shared" si="483"/>
        <v>2.6586194370496385</v>
      </c>
      <c r="AC543" s="47" t="str">
        <f t="shared" si="484"/>
        <v>-0,222596782414532+0,406497147256938i</v>
      </c>
      <c r="AD543" s="20">
        <f t="shared" si="485"/>
        <v>-6.6798744173879987</v>
      </c>
      <c r="AE543" s="43">
        <f t="shared" si="486"/>
        <v>118.70499852063539</v>
      </c>
      <c r="AF543" t="str">
        <f t="shared" si="468"/>
        <v>171,265703090588</v>
      </c>
      <c r="AG543" t="str">
        <f t="shared" si="469"/>
        <v>1+88212,4923279201i</v>
      </c>
      <c r="AH543">
        <f t="shared" si="487"/>
        <v>88212.492333588219</v>
      </c>
      <c r="AI543">
        <f t="shared" si="488"/>
        <v>1.5707849905320435</v>
      </c>
      <c r="AJ543" t="str">
        <f t="shared" si="470"/>
        <v>1+223,46518122433i</v>
      </c>
      <c r="AK543">
        <f t="shared" si="489"/>
        <v>223.46741869816873</v>
      </c>
      <c r="AL543">
        <f t="shared" si="490"/>
        <v>1.5663213865850514</v>
      </c>
      <c r="AM543" t="str">
        <f t="shared" si="471"/>
        <v>1-14,0471398156004i</v>
      </c>
      <c r="AN543">
        <f t="shared" si="491"/>
        <v>14.082689267289329</v>
      </c>
      <c r="AO543">
        <f t="shared" si="492"/>
        <v>-1.4997273514604914</v>
      </c>
      <c r="AP543" s="41" t="str">
        <f t="shared" si="493"/>
        <v>0,4066569665125-6,09643685913045i</v>
      </c>
      <c r="AQ543">
        <f t="shared" si="494"/>
        <v>15.720802365163015</v>
      </c>
      <c r="AR543" s="43">
        <f t="shared" si="495"/>
        <v>-86.183793326599812</v>
      </c>
      <c r="AS543" t="str">
        <f t="shared" si="472"/>
        <v>-0,0000166666666666667</v>
      </c>
      <c r="AT543" t="str">
        <f t="shared" si="473"/>
        <v>0,0170057002911716i</v>
      </c>
      <c r="AU543">
        <f t="shared" si="496"/>
        <v>1.7005700291171599E-2</v>
      </c>
      <c r="AV543">
        <f t="shared" si="497"/>
        <v>1.5707963267948966</v>
      </c>
      <c r="AW543" t="str">
        <f t="shared" si="474"/>
        <v>1+53,2968861921365i</v>
      </c>
      <c r="AX543">
        <f t="shared" si="498"/>
        <v>53.306266777720893</v>
      </c>
      <c r="AY543">
        <f t="shared" si="499"/>
        <v>1.5520357058958885</v>
      </c>
      <c r="AZ543" t="str">
        <f t="shared" si="475"/>
        <v>1+3687,17549020145i</v>
      </c>
      <c r="BA543">
        <f t="shared" si="500"/>
        <v>3687.1756258066011</v>
      </c>
      <c r="BB543">
        <f t="shared" si="501"/>
        <v>1.5705251164936405</v>
      </c>
      <c r="BC543" s="41" t="str">
        <f t="shared" si="502"/>
        <v>-0,00125333771005791+0,0677790608238091i</v>
      </c>
      <c r="BD543">
        <f t="shared" si="503"/>
        <v>-23.376604308259079</v>
      </c>
      <c r="BE543" s="43">
        <f t="shared" si="504"/>
        <v>91.059365192935644</v>
      </c>
      <c r="BF543" s="41" t="str">
        <f t="shared" si="505"/>
        <v>-0,0272730059270952-0,0155968790581469i</v>
      </c>
      <c r="BG543" s="20">
        <f t="shared" si="506"/>
        <v>-30.056478725647068</v>
      </c>
      <c r="BH543" s="43">
        <f t="shared" si="507"/>
        <v>-150.2356362864289</v>
      </c>
      <c r="BI543" s="41" t="str">
        <f t="shared" si="460"/>
        <v>0,412701086172327+0,0352037214802116i</v>
      </c>
      <c r="BJ543" s="20">
        <f t="shared" si="508"/>
        <v>-7.6558019430960549</v>
      </c>
      <c r="BK543" s="43">
        <f t="shared" si="461"/>
        <v>4.8755718663358367</v>
      </c>
      <c r="BL543">
        <f t="shared" si="509"/>
        <v>-30.056478725647068</v>
      </c>
      <c r="BM543" s="43">
        <f t="shared" si="510"/>
        <v>-150.2356362864289</v>
      </c>
    </row>
    <row r="544" spans="14:65" x14ac:dyDescent="0.25">
      <c r="N544" s="9">
        <v>26</v>
      </c>
      <c r="O544" s="34">
        <f t="shared" si="462"/>
        <v>1819700.8586099846</v>
      </c>
      <c r="P544" s="33" t="str">
        <f t="shared" si="463"/>
        <v>54,631621870174</v>
      </c>
      <c r="Q544" s="4" t="str">
        <f t="shared" si="464"/>
        <v>1+91139,4311762832i</v>
      </c>
      <c r="R544" s="4">
        <f t="shared" si="476"/>
        <v>91139.431181769294</v>
      </c>
      <c r="S544" s="4">
        <f t="shared" si="477"/>
        <v>1.5707853545956294</v>
      </c>
      <c r="T544" s="4" t="str">
        <f t="shared" si="465"/>
        <v>1+228,670353965606i</v>
      </c>
      <c r="U544" s="4">
        <f t="shared" si="478"/>
        <v>228.67254050881479</v>
      </c>
      <c r="V544" s="4">
        <f t="shared" si="479"/>
        <v>1.566423247346503</v>
      </c>
      <c r="W544" t="str">
        <f t="shared" si="466"/>
        <v>1-45,4978410886112i</v>
      </c>
      <c r="X544" s="4">
        <f t="shared" si="480"/>
        <v>45.508829294154758</v>
      </c>
      <c r="Y544" s="4">
        <f t="shared" si="481"/>
        <v>-1.5488208001258592</v>
      </c>
      <c r="Z544" t="str">
        <f t="shared" si="467"/>
        <v>-12,2452448593036+6,25103537709717i</v>
      </c>
      <c r="AA544" s="4">
        <f t="shared" si="482"/>
        <v>13.748507735387925</v>
      </c>
      <c r="AB544" s="4">
        <f t="shared" si="483"/>
        <v>2.6695908748055195</v>
      </c>
      <c r="AC544" s="47" t="str">
        <f t="shared" si="484"/>
        <v>-0,21338026644593+0,400417867068102i</v>
      </c>
      <c r="AD544" s="20">
        <f t="shared" si="485"/>
        <v>-6.864162041776682</v>
      </c>
      <c r="AE544" s="43">
        <f t="shared" si="486"/>
        <v>118.05288444256104</v>
      </c>
      <c r="AF544" t="str">
        <f t="shared" si="468"/>
        <v>171,265703090588</v>
      </c>
      <c r="AG544" t="str">
        <f t="shared" si="469"/>
        <v>1+90267,2252307805i</v>
      </c>
      <c r="AH544">
        <f t="shared" si="487"/>
        <v>90267.225236319602</v>
      </c>
      <c r="AI544">
        <f t="shared" si="488"/>
        <v>1.5707852485768901</v>
      </c>
      <c r="AJ544" t="str">
        <f t="shared" si="470"/>
        <v>1+228,670353965606i</v>
      </c>
      <c r="AK544">
        <f t="shared" si="489"/>
        <v>228.67254050881479</v>
      </c>
      <c r="AL544">
        <f t="shared" si="490"/>
        <v>1.566423247346503</v>
      </c>
      <c r="AM544" t="str">
        <f t="shared" si="471"/>
        <v>1-14,3743397348919i</v>
      </c>
      <c r="AN544">
        <f t="shared" si="491"/>
        <v>14.409081955978046</v>
      </c>
      <c r="AO544">
        <f t="shared" si="492"/>
        <v>-1.501339820808711</v>
      </c>
      <c r="AP544" s="41" t="str">
        <f t="shared" si="493"/>
        <v>0,406656965524261-6,23835191026601i</v>
      </c>
      <c r="AQ544">
        <f t="shared" si="494"/>
        <v>15.91981274714283</v>
      </c>
      <c r="AR544" s="43">
        <f t="shared" si="495"/>
        <v>-86.270359607998486</v>
      </c>
      <c r="AS544" t="str">
        <f t="shared" si="472"/>
        <v>-0,0000166666666666667</v>
      </c>
      <c r="AT544" t="str">
        <f t="shared" si="473"/>
        <v>0,0174018139367827i</v>
      </c>
      <c r="AU544">
        <f t="shared" si="496"/>
        <v>1.7401813936782699E-2</v>
      </c>
      <c r="AV544">
        <f t="shared" si="497"/>
        <v>1.5707963267948966</v>
      </c>
      <c r="AW544" t="str">
        <f t="shared" si="474"/>
        <v>1+54,5383301507983i</v>
      </c>
      <c r="AX544">
        <f t="shared" si="498"/>
        <v>54.547497244488454</v>
      </c>
      <c r="AY544">
        <f t="shared" si="499"/>
        <v>1.5524626529635588</v>
      </c>
      <c r="AZ544" t="str">
        <f t="shared" si="475"/>
        <v>1+3773,0608404325i</v>
      </c>
      <c r="BA544">
        <f t="shared" si="500"/>
        <v>3773.060972950901</v>
      </c>
      <c r="BB544">
        <f t="shared" si="501"/>
        <v>1.57053128999351</v>
      </c>
      <c r="BC544" s="41" t="str">
        <f t="shared" si="502"/>
        <v>-0,00119694717932247+0,0662372549999005i</v>
      </c>
      <c r="BD544">
        <f t="shared" si="503"/>
        <v>-23.576535534226061</v>
      </c>
      <c r="BE544" s="43">
        <f t="shared" si="504"/>
        <v>91.035256643370005</v>
      </c>
      <c r="BF544" s="41" t="str">
        <f t="shared" si="505"/>
        <v>-0,0262671754594606-0,0146130021570633i</v>
      </c>
      <c r="BG544" s="20">
        <f t="shared" si="506"/>
        <v>-30.440697576002741</v>
      </c>
      <c r="BH544" s="43">
        <f t="shared" si="507"/>
        <v>-150.91185891406889</v>
      </c>
      <c r="BI544" s="41" t="str">
        <f t="shared" si="460"/>
        <v>0,41272455935157+0,0344028188455301i</v>
      </c>
      <c r="BJ544" s="20">
        <f t="shared" si="508"/>
        <v>-7.65672278708323</v>
      </c>
      <c r="BK544" s="43">
        <f t="shared" si="461"/>
        <v>4.7648970353715265</v>
      </c>
      <c r="BL544">
        <f t="shared" si="509"/>
        <v>-30.440697576002741</v>
      </c>
      <c r="BM544" s="43">
        <f t="shared" si="510"/>
        <v>-150.91185891406889</v>
      </c>
    </row>
    <row r="545" spans="14:65" x14ac:dyDescent="0.25">
      <c r="N545" s="9">
        <v>27</v>
      </c>
      <c r="O545" s="34">
        <f t="shared" si="462"/>
        <v>1862087.1366628683</v>
      </c>
      <c r="P545" s="33" t="str">
        <f t="shared" si="463"/>
        <v>54,631621870174</v>
      </c>
      <c r="Q545" s="4" t="str">
        <f t="shared" si="464"/>
        <v>1+93262,3412431446i</v>
      </c>
      <c r="R545" s="4">
        <f t="shared" si="476"/>
        <v>93262.341248505822</v>
      </c>
      <c r="S545" s="4">
        <f t="shared" si="477"/>
        <v>1.570785604353377</v>
      </c>
      <c r="T545" s="4" t="str">
        <f t="shared" si="465"/>
        <v>1+233,996770755364i</v>
      </c>
      <c r="U545" s="4">
        <f t="shared" si="478"/>
        <v>233.99890752723263</v>
      </c>
      <c r="V545" s="4">
        <f t="shared" si="479"/>
        <v>1.5665227895616363</v>
      </c>
      <c r="W545" t="str">
        <f t="shared" si="466"/>
        <v>1-46,5576219498792i</v>
      </c>
      <c r="X545" s="4">
        <f t="shared" si="480"/>
        <v>46.56836009167462</v>
      </c>
      <c r="Y545" s="4">
        <f t="shared" si="481"/>
        <v>-1.5493208686071622</v>
      </c>
      <c r="Z545" t="str">
        <f t="shared" si="467"/>
        <v>-12,8694740181012+6,39664069588261i</v>
      </c>
      <c r="AA545" s="4">
        <f t="shared" si="482"/>
        <v>14.371512575049415</v>
      </c>
      <c r="AB545" s="4">
        <f t="shared" si="483"/>
        <v>2.6803160135542368</v>
      </c>
      <c r="AC545" s="47" t="str">
        <f t="shared" si="484"/>
        <v>-0,20450872828994+0,394277641545781i</v>
      </c>
      <c r="AD545" s="20">
        <f t="shared" si="485"/>
        <v>-7.0491984977014877</v>
      </c>
      <c r="AE545" s="43">
        <f t="shared" si="486"/>
        <v>117.41541648286685</v>
      </c>
      <c r="AF545" t="str">
        <f t="shared" si="468"/>
        <v>171,265703090588</v>
      </c>
      <c r="AG545" t="str">
        <f t="shared" si="469"/>
        <v>1+92369,8190112861i</v>
      </c>
      <c r="AH545">
        <f t="shared" si="487"/>
        <v>92369.819016699126</v>
      </c>
      <c r="AI545">
        <f t="shared" si="488"/>
        <v>1.5707855007479186</v>
      </c>
      <c r="AJ545" t="str">
        <f t="shared" si="470"/>
        <v>1+233,996770755364i</v>
      </c>
      <c r="AK545">
        <f t="shared" si="489"/>
        <v>233.99890752723263</v>
      </c>
      <c r="AL545">
        <f t="shared" si="490"/>
        <v>1.5665227895616363</v>
      </c>
      <c r="AM545" t="str">
        <f t="shared" si="471"/>
        <v>1-14,7091611193776i</v>
      </c>
      <c r="AN545">
        <f t="shared" si="491"/>
        <v>14.743114353345078</v>
      </c>
      <c r="AO545">
        <f t="shared" si="492"/>
        <v>-1.5029159355175166</v>
      </c>
      <c r="AP545" s="41" t="str">
        <f t="shared" si="493"/>
        <v>0,4066569645805-6,38357461815868i</v>
      </c>
      <c r="AQ545">
        <f t="shared" si="494"/>
        <v>16.118867460376364</v>
      </c>
      <c r="AR545" s="43">
        <f t="shared" si="495"/>
        <v>-86.354975428366672</v>
      </c>
      <c r="AS545" t="str">
        <f t="shared" si="472"/>
        <v>-0,0000166666666666667</v>
      </c>
      <c r="AT545" t="str">
        <f t="shared" si="473"/>
        <v>0,0178071542544833i</v>
      </c>
      <c r="AU545">
        <f t="shared" si="496"/>
        <v>1.7807154254483301E-2</v>
      </c>
      <c r="AV545">
        <f t="shared" si="497"/>
        <v>1.5707963267948966</v>
      </c>
      <c r="AW545" t="str">
        <f t="shared" si="474"/>
        <v>1+55,808691054006i</v>
      </c>
      <c r="AX545">
        <f t="shared" si="498"/>
        <v>55.817649513048195</v>
      </c>
      <c r="AY545">
        <f t="shared" si="499"/>
        <v>1.5528798879888084</v>
      </c>
      <c r="AZ545" t="str">
        <f t="shared" si="475"/>
        <v>1+3860,94671746351i</v>
      </c>
      <c r="BA545">
        <f t="shared" si="500"/>
        <v>3860.9468469654244</v>
      </c>
      <c r="BB545">
        <f t="shared" si="501"/>
        <v>1.5705373229673856</v>
      </c>
      <c r="BC545" s="41" t="str">
        <f t="shared" si="502"/>
        <v>-0,00114309297294685+0,0647304759786916i</v>
      </c>
      <c r="BD545">
        <f t="shared" si="503"/>
        <v>-23.776469854517302</v>
      </c>
      <c r="BE545" s="43">
        <f t="shared" si="504"/>
        <v>91.011696501299141</v>
      </c>
      <c r="BF545" s="41" t="str">
        <f t="shared" si="505"/>
        <v>-0,0252880069147998-0,0136886433254458i</v>
      </c>
      <c r="BG545" s="20">
        <f t="shared" si="506"/>
        <v>-30.825668352218795</v>
      </c>
      <c r="BH545" s="43">
        <f t="shared" si="507"/>
        <v>-151.57288701583389</v>
      </c>
      <c r="BI545" s="41" t="str">
        <f t="shared" si="460"/>
        <v>0,412746976760294+0,0336201181656448i</v>
      </c>
      <c r="BJ545" s="20">
        <f t="shared" si="508"/>
        <v>-7.657602394140941</v>
      </c>
      <c r="BK545" s="43">
        <f t="shared" si="461"/>
        <v>4.6567210729324851</v>
      </c>
      <c r="BL545">
        <f t="shared" si="509"/>
        <v>-30.825668352218795</v>
      </c>
      <c r="BM545" s="43">
        <f t="shared" si="510"/>
        <v>-151.57288701583389</v>
      </c>
    </row>
    <row r="546" spans="14:65" x14ac:dyDescent="0.25">
      <c r="N546" s="9">
        <v>28</v>
      </c>
      <c r="O546" s="34">
        <f t="shared" si="462"/>
        <v>1905460.7179632513</v>
      </c>
      <c r="P546" s="33" t="str">
        <f t="shared" si="463"/>
        <v>54,631621870174</v>
      </c>
      <c r="Q546" s="4" t="str">
        <f t="shared" si="464"/>
        <v>1+95434,700237807i</v>
      </c>
      <c r="R546" s="4">
        <f t="shared" si="476"/>
        <v>95434.700243046187</v>
      </c>
      <c r="S546" s="4">
        <f t="shared" si="477"/>
        <v>1.570785848425944</v>
      </c>
      <c r="T546" s="4" t="str">
        <f t="shared" si="465"/>
        <v>1+239,447255730292i</v>
      </c>
      <c r="U546" s="4">
        <f t="shared" si="478"/>
        <v>239.44934386372384</v>
      </c>
      <c r="V546" s="4">
        <f t="shared" si="479"/>
        <v>1.5666200660011562</v>
      </c>
      <c r="W546" t="str">
        <f t="shared" si="466"/>
        <v>1-47,6420882785684i</v>
      </c>
      <c r="X546" s="4">
        <f t="shared" si="480"/>
        <v>47.652582044868296</v>
      </c>
      <c r="Y546" s="4">
        <f t="shared" si="481"/>
        <v>-1.549809564520489</v>
      </c>
      <c r="Z546" t="str">
        <f t="shared" si="467"/>
        <v>-13,5231221908043+6,54563759823461i</v>
      </c>
      <c r="AA546" s="4">
        <f t="shared" si="482"/>
        <v>15.02398766489264</v>
      </c>
      <c r="AB546" s="4">
        <f t="shared" si="483"/>
        <v>2.6908000315962863</v>
      </c>
      <c r="AC546" s="47" t="str">
        <f t="shared" si="484"/>
        <v>-0,195972655855841+0,388089743060065i</v>
      </c>
      <c r="AD546" s="20">
        <f t="shared" si="485"/>
        <v>-7.23494698445651</v>
      </c>
      <c r="AE546" s="43">
        <f t="shared" si="486"/>
        <v>116.79228582852197</v>
      </c>
      <c r="AF546" t="str">
        <f t="shared" si="468"/>
        <v>171,265703090588</v>
      </c>
      <c r="AG546" t="str">
        <f t="shared" si="469"/>
        <v>1+94521,3884924914i</v>
      </c>
      <c r="AH546">
        <f t="shared" si="487"/>
        <v>94521.388497781212</v>
      </c>
      <c r="AI546">
        <f t="shared" si="488"/>
        <v>1.570785747178834</v>
      </c>
      <c r="AJ546" t="str">
        <f t="shared" si="470"/>
        <v>1+239,447255730292i</v>
      </c>
      <c r="AK546">
        <f t="shared" si="489"/>
        <v>239.44934386372384</v>
      </c>
      <c r="AL546">
        <f t="shared" si="490"/>
        <v>1.5666200660011562</v>
      </c>
      <c r="AM546" t="str">
        <f t="shared" si="471"/>
        <v>1-15,0517814957878i</v>
      </c>
      <c r="AN546">
        <f t="shared" si="491"/>
        <v>15.084963579569559</v>
      </c>
      <c r="AO546">
        <f t="shared" si="492"/>
        <v>-1.5044564999238992</v>
      </c>
      <c r="AP546" s="41" t="str">
        <f t="shared" si="493"/>
        <v>0,406656963679216-6,53218198181061i</v>
      </c>
      <c r="AQ546">
        <f t="shared" si="494"/>
        <v>16.317964527926499</v>
      </c>
      <c r="AR546" s="43">
        <f t="shared" si="495"/>
        <v>-86.437683856941291</v>
      </c>
      <c r="AS546" t="str">
        <f t="shared" si="472"/>
        <v>-0,0000166666666666667</v>
      </c>
      <c r="AT546" t="str">
        <f t="shared" si="473"/>
        <v>0,0182219361610752i</v>
      </c>
      <c r="AU546">
        <f t="shared" si="496"/>
        <v>1.8221936161075199E-2</v>
      </c>
      <c r="AV546">
        <f t="shared" si="497"/>
        <v>1.5707963267948966</v>
      </c>
      <c r="AW546" t="str">
        <f t="shared" si="474"/>
        <v>1+57,1086424639264i</v>
      </c>
      <c r="AX546">
        <f t="shared" si="498"/>
        <v>57.117397035164139</v>
      </c>
      <c r="AY546">
        <f t="shared" si="499"/>
        <v>1.5532876316137623</v>
      </c>
      <c r="AZ546" t="str">
        <f t="shared" si="475"/>
        <v>1+3950,87971954982i</v>
      </c>
      <c r="BA546">
        <f t="shared" si="500"/>
        <v>3950.8798461039114</v>
      </c>
      <c r="BB546">
        <f t="shared" si="501"/>
        <v>1.5705432186140282</v>
      </c>
      <c r="BC546" s="41" t="str">
        <f t="shared" si="502"/>
        <v>-0,00109166108419237+0,0632579310538551i</v>
      </c>
      <c r="BD546">
        <f t="shared" si="503"/>
        <v>-23.976407129954787</v>
      </c>
      <c r="BE546" s="43">
        <f t="shared" si="504"/>
        <v>90.988672308136032</v>
      </c>
      <c r="BF546" s="41" t="str">
        <f t="shared" si="505"/>
        <v>-0,0243358184872383-0,0128204872222426i</v>
      </c>
      <c r="BG546" s="20">
        <f t="shared" si="506"/>
        <v>-31.211354114411286</v>
      </c>
      <c r="BH546" s="43">
        <f t="shared" si="507"/>
        <v>-152.21904186334191</v>
      </c>
      <c r="BI546" s="41" t="str">
        <f t="shared" si="460"/>
        <v>0,412768385854746+0,0328552070353951i</v>
      </c>
      <c r="BJ546" s="20">
        <f t="shared" si="508"/>
        <v>-7.6584426020282841</v>
      </c>
      <c r="BK546" s="43">
        <f t="shared" si="461"/>
        <v>4.5509884511947405</v>
      </c>
      <c r="BL546">
        <f t="shared" si="509"/>
        <v>-31.211354114411286</v>
      </c>
      <c r="BM546" s="43">
        <f t="shared" si="510"/>
        <v>-152.21904186334191</v>
      </c>
    </row>
    <row r="547" spans="14:65" x14ac:dyDescent="0.25">
      <c r="N547" s="9">
        <v>29</v>
      </c>
      <c r="O547" s="34">
        <f t="shared" si="462"/>
        <v>1949844.5997580495</v>
      </c>
      <c r="P547" s="33" t="str">
        <f t="shared" si="463"/>
        <v>54,631621870174</v>
      </c>
      <c r="Q547" s="4" t="str">
        <f t="shared" si="464"/>
        <v>1+97657,6599737617i</v>
      </c>
      <c r="R547" s="4">
        <f t="shared" si="476"/>
        <v>97657.659978881638</v>
      </c>
      <c r="S547" s="4">
        <f t="shared" si="477"/>
        <v>1.5707860869427412</v>
      </c>
      <c r="T547" s="4" t="str">
        <f t="shared" si="465"/>
        <v>1+245,024698809664i</v>
      </c>
      <c r="U547" s="4">
        <f t="shared" si="478"/>
        <v>245.02673941177636</v>
      </c>
      <c r="V547" s="4">
        <f t="shared" si="479"/>
        <v>1.5667151282349503</v>
      </c>
      <c r="W547" t="str">
        <f t="shared" si="466"/>
        <v>1-48,7518150730798i</v>
      </c>
      <c r="X547" s="4">
        <f t="shared" si="480"/>
        <v>48.762070022916078</v>
      </c>
      <c r="Y547" s="4">
        <f t="shared" si="481"/>
        <v>-1.5502871460446486</v>
      </c>
      <c r="Z547" t="str">
        <f t="shared" si="467"/>
        <v>-14,2075758528224+6,69810508428287i</v>
      </c>
      <c r="AA547" s="4">
        <f t="shared" si="482"/>
        <v>15.707317509167444</v>
      </c>
      <c r="AB547" s="4">
        <f t="shared" si="483"/>
        <v>2.7010480375400361</v>
      </c>
      <c r="AC547" s="47" t="str">
        <f t="shared" si="484"/>
        <v>-0,187762458274714+0,381866509826765i</v>
      </c>
      <c r="AD547" s="20">
        <f t="shared" si="485"/>
        <v>-7.4213725598709299</v>
      </c>
      <c r="AE547" s="43">
        <f t="shared" si="486"/>
        <v>116.18318793259411</v>
      </c>
      <c r="AF547" t="str">
        <f t="shared" si="468"/>
        <v>171,265703090588</v>
      </c>
      <c r="AG547" t="str">
        <f t="shared" si="469"/>
        <v>1+96723,0744650126i</v>
      </c>
      <c r="AH547">
        <f t="shared" si="487"/>
        <v>96723.074470181993</v>
      </c>
      <c r="AI547">
        <f t="shared" si="488"/>
        <v>1.5707859880002968</v>
      </c>
      <c r="AJ547" t="str">
        <f t="shared" si="470"/>
        <v>1+245,024698809664i</v>
      </c>
      <c r="AK547">
        <f t="shared" si="489"/>
        <v>245.02673941177636</v>
      </c>
      <c r="AL547">
        <f t="shared" si="490"/>
        <v>1.5667151282349503</v>
      </c>
      <c r="AM547" t="str">
        <f t="shared" si="471"/>
        <v>1-15,4023825259807i</v>
      </c>
      <c r="AN547">
        <f t="shared" si="491"/>
        <v>15.434810898635448</v>
      </c>
      <c r="AO547">
        <f t="shared" si="492"/>
        <v>-1.5059623015887906</v>
      </c>
      <c r="AP547" s="41" t="str">
        <f t="shared" si="493"/>
        <v>0,406656962818496-6,68425279481283i</v>
      </c>
      <c r="AQ547">
        <f t="shared" si="494"/>
        <v>16.517102060233025</v>
      </c>
      <c r="AR547" s="43">
        <f t="shared" si="495"/>
        <v>-86.518527070389297</v>
      </c>
      <c r="AS547" t="str">
        <f t="shared" si="472"/>
        <v>-0,0000166666666666667</v>
      </c>
      <c r="AT547" t="str">
        <f t="shared" si="473"/>
        <v>0,0186463795794155i</v>
      </c>
      <c r="AU547">
        <f t="shared" si="496"/>
        <v>1.8646379579415499E-2</v>
      </c>
      <c r="AV547">
        <f t="shared" si="497"/>
        <v>1.5707963267948966</v>
      </c>
      <c r="AW547" t="str">
        <f t="shared" si="474"/>
        <v>1+58,4388736320026i</v>
      </c>
      <c r="AX547">
        <f t="shared" si="498"/>
        <v>58.4474289543789</v>
      </c>
      <c r="AY547">
        <f t="shared" si="499"/>
        <v>1.5536860994868609</v>
      </c>
      <c r="AZ547" t="str">
        <f t="shared" si="475"/>
        <v>1+4042,90753035946i</v>
      </c>
      <c r="BA547">
        <f t="shared" si="500"/>
        <v>4042.9076540328283</v>
      </c>
      <c r="BB547">
        <f t="shared" si="501"/>
        <v>1.5705489800593857</v>
      </c>
      <c r="BC547" s="41" t="str">
        <f t="shared" si="502"/>
        <v>-0,00104254262457316+0,0618188452565171i</v>
      </c>
      <c r="BD547">
        <f t="shared" si="503"/>
        <v>-24.176347227616496</v>
      </c>
      <c r="BE547" s="43">
        <f t="shared" si="504"/>
        <v>90.966171887238815</v>
      </c>
      <c r="BF547" s="41" t="str">
        <f t="shared" si="505"/>
        <v>-0,023410796313581-0,0120053704664592i</v>
      </c>
      <c r="BG547" s="20">
        <f t="shared" si="506"/>
        <v>-31.597719787487431</v>
      </c>
      <c r="BH547" s="43">
        <f t="shared" si="507"/>
        <v>-152.85064018016701</v>
      </c>
      <c r="BI547" s="41" t="str">
        <f t="shared" si="460"/>
        <v>0,412788831960659+0,0321076823089765i</v>
      </c>
      <c r="BJ547" s="20">
        <f t="shared" si="508"/>
        <v>-7.6592451673834603</v>
      </c>
      <c r="BK547" s="43">
        <f t="shared" si="461"/>
        <v>4.4476448168495324</v>
      </c>
      <c r="BL547">
        <f t="shared" si="509"/>
        <v>-31.597719787487431</v>
      </c>
      <c r="BM547" s="43">
        <f t="shared" si="510"/>
        <v>-152.85064018016701</v>
      </c>
    </row>
    <row r="548" spans="14:65" x14ac:dyDescent="0.25">
      <c r="N548" s="9">
        <v>30</v>
      </c>
      <c r="O548" s="34">
        <f t="shared" si="462"/>
        <v>1995262.31496888</v>
      </c>
      <c r="P548" s="33" t="str">
        <f t="shared" si="463"/>
        <v>54,631621870174</v>
      </c>
      <c r="Q548" s="4" t="str">
        <f t="shared" si="464"/>
        <v>1+99932,3990936872i</v>
      </c>
      <c r="R548" s="4">
        <f t="shared" si="476"/>
        <v>99932.39909869057</v>
      </c>
      <c r="S548" s="4">
        <f t="shared" si="477"/>
        <v>1.5707863200302334</v>
      </c>
      <c r="T548" s="4" t="str">
        <f t="shared" si="465"/>
        <v>1+250,732057227632i</v>
      </c>
      <c r="U548" s="4">
        <f t="shared" si="478"/>
        <v>250.73405138034312</v>
      </c>
      <c r="V548" s="4">
        <f t="shared" si="479"/>
        <v>1.5668080266593971</v>
      </c>
      <c r="W548" t="str">
        <f t="shared" si="466"/>
        <v>1-49,8873907252498i</v>
      </c>
      <c r="X548" s="4">
        <f t="shared" si="480"/>
        <v>49.897412291357753</v>
      </c>
      <c r="Y548" s="4">
        <f t="shared" si="481"/>
        <v>-1.5507538655277573</v>
      </c>
      <c r="Z548" t="str">
        <f t="shared" si="467"/>
        <v>-14,9242868221399+6,85412399430676i</v>
      </c>
      <c r="AA548" s="4">
        <f t="shared" si="482"/>
        <v>16.422952014751498</v>
      </c>
      <c r="AB548" s="4">
        <f t="shared" si="483"/>
        <v>2.7110650668310496</v>
      </c>
      <c r="AC548" s="47" t="str">
        <f t="shared" si="484"/>
        <v>-0,179868510332496+0,375619391129576i</v>
      </c>
      <c r="AD548" s="20">
        <f t="shared" si="485"/>
        <v>-7.608442047434818</v>
      </c>
      <c r="AE548" s="43">
        <f t="shared" si="486"/>
        <v>115.58782270707606</v>
      </c>
      <c r="AF548" t="str">
        <f t="shared" si="468"/>
        <v>171,265703090588</v>
      </c>
      <c r="AG548" t="str">
        <f t="shared" si="469"/>
        <v>1+98976,0442918971i</v>
      </c>
      <c r="AH548">
        <f t="shared" si="487"/>
        <v>98976.044296948836</v>
      </c>
      <c r="AI548">
        <f t="shared" si="488"/>
        <v>1.5707862233399938</v>
      </c>
      <c r="AJ548" t="str">
        <f t="shared" si="470"/>
        <v>1+250,732057227632i</v>
      </c>
      <c r="AK548">
        <f t="shared" si="489"/>
        <v>250.73405138034312</v>
      </c>
      <c r="AL548">
        <f t="shared" si="490"/>
        <v>1.5668080266593971</v>
      </c>
      <c r="AM548" t="str">
        <f t="shared" si="471"/>
        <v>1-15,7611501032636i</v>
      </c>
      <c r="AN548">
        <f t="shared" si="491"/>
        <v>15.79284181449324</v>
      </c>
      <c r="AO548">
        <f t="shared" si="492"/>
        <v>-1.5074341115782814</v>
      </c>
      <c r="AP548" s="41" t="str">
        <f t="shared" si="493"/>
        <v>0,406656961996514-6,83986768712345i</v>
      </c>
      <c r="AQ548">
        <f t="shared" si="494"/>
        <v>16.716278251320457</v>
      </c>
      <c r="AR548" s="43">
        <f t="shared" si="495"/>
        <v>-86.597546367359499</v>
      </c>
      <c r="AS548" t="str">
        <f t="shared" si="472"/>
        <v>-0,0000166666666666667</v>
      </c>
      <c r="AT548" t="str">
        <f t="shared" si="473"/>
        <v>0,0190807095550228i</v>
      </c>
      <c r="AU548">
        <f t="shared" si="496"/>
        <v>1.90807095550228E-2</v>
      </c>
      <c r="AV548">
        <f t="shared" si="497"/>
        <v>1.5707963267948966</v>
      </c>
      <c r="AW548" t="str">
        <f t="shared" si="474"/>
        <v>1+59,8000898644089i</v>
      </c>
      <c r="AX548">
        <f t="shared" si="498"/>
        <v>59.808450471412314</v>
      </c>
      <c r="AY548">
        <f t="shared" si="499"/>
        <v>1.554075502374616</v>
      </c>
      <c r="AZ548" t="str">
        <f t="shared" si="475"/>
        <v>1+4137,07894425593i</v>
      </c>
      <c r="BA548">
        <f t="shared" si="500"/>
        <v>4137.0790651141488</v>
      </c>
      <c r="BB548">
        <f t="shared" si="501"/>
        <v>1.5705546103582517</v>
      </c>
      <c r="BC548" s="41" t="str">
        <f t="shared" si="502"/>
        <v>-0,000995633594630229+0,0604124609719365i</v>
      </c>
      <c r="BD548">
        <f t="shared" si="503"/>
        <v>-24.376290020555892</v>
      </c>
      <c r="BE548" s="43">
        <f t="shared" si="504"/>
        <v>90.944183337602652</v>
      </c>
      <c r="BF548" s="41" t="str">
        <f t="shared" si="505"/>
        <v>-0,0225130086754149-0,0112402786451454i</v>
      </c>
      <c r="BG548" s="20">
        <f t="shared" si="506"/>
        <v>-31.984732067990723</v>
      </c>
      <c r="BH548" s="43">
        <f t="shared" si="507"/>
        <v>-153.4679939553213</v>
      </c>
      <c r="BI548" s="41" t="str">
        <f t="shared" si="460"/>
        <v>0,412808358368701+0,0313771498977065i</v>
      </c>
      <c r="BJ548" s="20">
        <f t="shared" si="508"/>
        <v>-7.6600117692354353</v>
      </c>
      <c r="BK548" s="43">
        <f t="shared" si="461"/>
        <v>4.3466369702431598</v>
      </c>
      <c r="BL548">
        <f t="shared" si="509"/>
        <v>-31.984732067990723</v>
      </c>
      <c r="BM548" s="43">
        <f t="shared" si="510"/>
        <v>-153.4679939553213</v>
      </c>
    </row>
    <row r="549" spans="14:65" x14ac:dyDescent="0.25">
      <c r="N549" s="9">
        <v>31</v>
      </c>
      <c r="O549" s="34">
        <f t="shared" si="462"/>
        <v>2041737.9446695296</v>
      </c>
      <c r="P549" s="33" t="str">
        <f t="shared" si="463"/>
        <v>54,631621870174</v>
      </c>
      <c r="Q549" s="4" t="str">
        <f t="shared" si="464"/>
        <v>1+102260,123694373i</v>
      </c>
      <c r="R549" s="4">
        <f t="shared" si="476"/>
        <v>102260.12369926249</v>
      </c>
      <c r="S549" s="4">
        <f t="shared" si="477"/>
        <v>1.5707865478120062</v>
      </c>
      <c r="T549" s="4" t="str">
        <f t="shared" si="465"/>
        <v>1+256,572357101172i</v>
      </c>
      <c r="U549" s="4">
        <f t="shared" si="478"/>
        <v>256.57430586177429</v>
      </c>
      <c r="V549" s="4">
        <f t="shared" si="479"/>
        <v>1.5668988105240531</v>
      </c>
      <c r="W549" t="str">
        <f t="shared" si="466"/>
        <v>1-51,0494173323199i</v>
      </c>
      <c r="X549" s="4">
        <f t="shared" si="480"/>
        <v>51.059210823996906</v>
      </c>
      <c r="Y549" s="4">
        <f t="shared" si="481"/>
        <v>-1.5512099696168828</v>
      </c>
      <c r="Z549" t="str">
        <f t="shared" si="467"/>
        <v>-15,6747753388133+7,01377705159746i</v>
      </c>
      <c r="AA549" s="4">
        <f t="shared" si="482"/>
        <v>17.172409570348147</v>
      </c>
      <c r="AB549" s="4">
        <f t="shared" si="483"/>
        <v>2.7208560788557494</v>
      </c>
      <c r="AC549" s="47" t="str">
        <f t="shared" si="484"/>
        <v>-0,172281191906071+0,369358991940188i</v>
      </c>
      <c r="AD549" s="20">
        <f t="shared" si="485"/>
        <v>-7.7961239473972421</v>
      </c>
      <c r="AE549" s="43">
        <f t="shared" si="486"/>
        <v>115.00589468293195</v>
      </c>
      <c r="AF549" t="str">
        <f t="shared" si="468"/>
        <v>171,265703090588</v>
      </c>
      <c r="AG549" t="str">
        <f t="shared" si="469"/>
        <v>1+101281,492527568i</v>
      </c>
      <c r="AH549">
        <f t="shared" si="487"/>
        <v>101281.49253250474</v>
      </c>
      <c r="AI549">
        <f t="shared" si="488"/>
        <v>1.5707864533227054</v>
      </c>
      <c r="AJ549" t="str">
        <f t="shared" si="470"/>
        <v>1+256,572357101172i</v>
      </c>
      <c r="AK549">
        <f t="shared" si="489"/>
        <v>256.57430586177429</v>
      </c>
      <c r="AL549">
        <f t="shared" si="490"/>
        <v>1.5668988105240531</v>
      </c>
      <c r="AM549" t="str">
        <f t="shared" si="471"/>
        <v>1-16,1282744509546i</v>
      </c>
      <c r="AN549">
        <f t="shared" si="491"/>
        <v>16.159246169463319</v>
      </c>
      <c r="AO549">
        <f t="shared" si="492"/>
        <v>-1.5088726847449632</v>
      </c>
      <c r="AP549" s="41" t="str">
        <f t="shared" si="493"/>
        <v>0,406656961211526-6,99910916781803i</v>
      </c>
      <c r="AQ549">
        <f t="shared" si="494"/>
        <v>16.91549137516246</v>
      </c>
      <c r="AR549" s="43">
        <f t="shared" si="495"/>
        <v>-86.674782183077198</v>
      </c>
      <c r="AS549" t="str">
        <f t="shared" si="472"/>
        <v>-0,0000166666666666667</v>
      </c>
      <c r="AT549" t="str">
        <f t="shared" si="473"/>
        <v>0,0195251563753992i</v>
      </c>
      <c r="AU549">
        <f t="shared" si="496"/>
        <v>1.95251563753992E-2</v>
      </c>
      <c r="AV549">
        <f t="shared" si="497"/>
        <v>1.5707963267948966</v>
      </c>
      <c r="AW549" t="str">
        <f t="shared" si="474"/>
        <v>1+61,1930128960088i</v>
      </c>
      <c r="AX549">
        <f t="shared" si="498"/>
        <v>61.2011832180645</v>
      </c>
      <c r="AY549">
        <f t="shared" si="499"/>
        <v>1.5544560462709462</v>
      </c>
      <c r="AZ549" t="str">
        <f t="shared" si="475"/>
        <v>1+4233,44389216934i</v>
      </c>
      <c r="BA549">
        <f t="shared" si="500"/>
        <v>4233.4440102764893</v>
      </c>
      <c r="BB549">
        <f t="shared" si="501"/>
        <v>1.5705601124958832</v>
      </c>
      <c r="BC549" s="41" t="str">
        <f t="shared" si="502"/>
        <v>-0,000950834664923077+0,059038037563554i</v>
      </c>
      <c r="BD549">
        <f t="shared" si="503"/>
        <v>-24.576235387533416</v>
      </c>
      <c r="BE549" s="43">
        <f t="shared" si="504"/>
        <v>90.922695027688079</v>
      </c>
      <c r="BF549" s="41" t="str">
        <f t="shared" si="505"/>
        <v>-0,0216424191112227-0,0105223428125822i</v>
      </c>
      <c r="BG549" s="20">
        <f t="shared" si="506"/>
        <v>-32.372359334930664</v>
      </c>
      <c r="BH549" s="43">
        <f t="shared" si="507"/>
        <v>-154.07141028938005</v>
      </c>
      <c r="BI549" s="41" t="str">
        <f t="shared" si="460"/>
        <v>0,412827006425604+0,0306632245718291i</v>
      </c>
      <c r="BJ549" s="20">
        <f t="shared" si="508"/>
        <v>-7.6607440123709525</v>
      </c>
      <c r="BK549" s="43">
        <f t="shared" si="461"/>
        <v>4.2479128446108829</v>
      </c>
      <c r="BL549">
        <f t="shared" si="509"/>
        <v>-32.372359334930664</v>
      </c>
      <c r="BM549" s="43">
        <f t="shared" si="510"/>
        <v>-154.07141028938005</v>
      </c>
    </row>
    <row r="550" spans="14:65" x14ac:dyDescent="0.25">
      <c r="N550" s="9">
        <v>32</v>
      </c>
      <c r="O550" s="34">
        <f t="shared" si="462"/>
        <v>2089296.1308540432</v>
      </c>
      <c r="P550" s="33" t="str">
        <f t="shared" si="463"/>
        <v>54,631621870174</v>
      </c>
      <c r="Q550" s="4" t="str">
        <f t="shared" si="464"/>
        <v>1+104642,067966216i</v>
      </c>
      <c r="R550" s="4">
        <f t="shared" si="476"/>
        <v>104642.06797099418</v>
      </c>
      <c r="S550" s="4">
        <f t="shared" si="477"/>
        <v>1.5707867704088332</v>
      </c>
      <c r="T550" s="4" t="str">
        <f t="shared" si="465"/>
        <v>1+262,548695034586i</v>
      </c>
      <c r="U550" s="4">
        <f t="shared" si="478"/>
        <v>262.55059943630681</v>
      </c>
      <c r="V550" s="4">
        <f t="shared" si="479"/>
        <v>1.5669875279577359</v>
      </c>
      <c r="W550" t="str">
        <f t="shared" si="466"/>
        <v>1-52,2385110161789i</v>
      </c>
      <c r="X550" s="4">
        <f t="shared" si="480"/>
        <v>52.248081622079141</v>
      </c>
      <c r="Y550" s="4">
        <f t="shared" si="481"/>
        <v>-1.5516556993849457</v>
      </c>
      <c r="Z550" t="str">
        <f t="shared" si="467"/>
        <v>-16,4606332896068+7,17714890631929i</v>
      </c>
      <c r="AA550" s="4">
        <f t="shared" si="482"/>
        <v>17.957280270642094</v>
      </c>
      <c r="AB550" s="4">
        <f t="shared" si="483"/>
        <v>2.7304259545624419</v>
      </c>
      <c r="AC550" s="47" t="str">
        <f t="shared" si="484"/>
        <v>-0,164990922796721+0,363095116704552i</v>
      </c>
      <c r="AD550" s="20">
        <f t="shared" si="485"/>
        <v>-7.9843883517979997</v>
      </c>
      <c r="AE550" s="43">
        <f t="shared" si="486"/>
        <v>114.43711314062077</v>
      </c>
      <c r="AF550" t="str">
        <f t="shared" si="468"/>
        <v>171,265703090588</v>
      </c>
      <c r="AG550" t="str">
        <f t="shared" si="469"/>
        <v>1+103640,641551196i</v>
      </c>
      <c r="AH550">
        <f t="shared" si="487"/>
        <v>103640.64155602036</v>
      </c>
      <c r="AI550">
        <f t="shared" si="488"/>
        <v>1.5707866780703712</v>
      </c>
      <c r="AJ550" t="str">
        <f t="shared" si="470"/>
        <v>1+262,548695034586i</v>
      </c>
      <c r="AK550">
        <f t="shared" si="489"/>
        <v>262.55059943630681</v>
      </c>
      <c r="AL550">
        <f t="shared" si="490"/>
        <v>1.5669875279577359</v>
      </c>
      <c r="AM550" t="str">
        <f t="shared" si="471"/>
        <v>1-16,5039502232427i</v>
      </c>
      <c r="AN550">
        <f t="shared" si="491"/>
        <v>16.534218244938973</v>
      </c>
      <c r="AO550">
        <f t="shared" si="492"/>
        <v>-1.5102787600090024</v>
      </c>
      <c r="AP550" s="41" t="str">
        <f t="shared" si="493"/>
        <v>0,406656960461873-7,16206166883774i</v>
      </c>
      <c r="AQ550">
        <f t="shared" si="494"/>
        <v>17.114739782200711</v>
      </c>
      <c r="AR550" s="43">
        <f t="shared" si="495"/>
        <v>-86.750274103957835</v>
      </c>
      <c r="AS550" t="str">
        <f t="shared" si="472"/>
        <v>-0,0000166666666666667</v>
      </c>
      <c r="AT550" t="str">
        <f t="shared" si="473"/>
        <v>0,019979955692132i</v>
      </c>
      <c r="AU550">
        <f t="shared" si="496"/>
        <v>1.9979955692132002E-2</v>
      </c>
      <c r="AV550">
        <f t="shared" si="497"/>
        <v>1.5707963267948966</v>
      </c>
      <c r="AW550" t="str">
        <f t="shared" si="474"/>
        <v>1+62,618381273032i</v>
      </c>
      <c r="AX550">
        <f t="shared" si="498"/>
        <v>62.62636563983898</v>
      </c>
      <c r="AY550">
        <f t="shared" si="499"/>
        <v>1.5548279325041459</v>
      </c>
      <c r="AZ550" t="str">
        <f t="shared" si="475"/>
        <v>1+4332,05346807067i</v>
      </c>
      <c r="BA550">
        <f t="shared" si="500"/>
        <v>4332.0535834893735</v>
      </c>
      <c r="BB550">
        <f t="shared" si="501"/>
        <v>1.5705654893895855</v>
      </c>
      <c r="BC550" s="41" t="str">
        <f t="shared" si="502"/>
        <v>-0,000908050966787257+0,0576948510043271i</v>
      </c>
      <c r="BD550">
        <f t="shared" si="503"/>
        <v>-24.776183212760294</v>
      </c>
      <c r="BE550" s="43">
        <f t="shared" si="504"/>
        <v>90.90169558938274</v>
      </c>
      <c r="BF550" s="41" t="str">
        <f t="shared" si="505"/>
        <v>-0,0207988984917112-0,00984883557958255i</v>
      </c>
      <c r="BG550" s="20">
        <f t="shared" si="506"/>
        <v>-32.760571564558298</v>
      </c>
      <c r="BH550" s="43">
        <f t="shared" si="507"/>
        <v>-154.66119126999646</v>
      </c>
      <c r="BI550" s="41" t="str">
        <f t="shared" si="460"/>
        <v>0,412844815621298+0,0299655297662984i</v>
      </c>
      <c r="BJ550" s="20">
        <f t="shared" si="508"/>
        <v>-7.661443430559574</v>
      </c>
      <c r="BK550" s="43">
        <f t="shared" si="461"/>
        <v>4.1514214854249278</v>
      </c>
      <c r="BL550">
        <f t="shared" si="509"/>
        <v>-32.760571564558298</v>
      </c>
      <c r="BM550" s="43">
        <f t="shared" si="510"/>
        <v>-154.66119126999646</v>
      </c>
    </row>
    <row r="551" spans="14:65" x14ac:dyDescent="0.25">
      <c r="N551" s="9">
        <v>33</v>
      </c>
      <c r="O551" s="34">
        <f t="shared" si="462"/>
        <v>2137962.0895022359</v>
      </c>
      <c r="P551" s="33" t="str">
        <f t="shared" si="463"/>
        <v>54,631621870174</v>
      </c>
      <c r="Q551" s="4" t="str">
        <f t="shared" si="464"/>
        <v>1+107079,494847595i</v>
      </c>
      <c r="R551" s="4">
        <f t="shared" si="476"/>
        <v>107079.49485226443</v>
      </c>
      <c r="S551" s="4">
        <f t="shared" si="477"/>
        <v>1.5707869879387375</v>
      </c>
      <c r="T551" s="4" t="str">
        <f t="shared" si="465"/>
        <v>1+268,664239761348i</v>
      </c>
      <c r="U551" s="4">
        <f t="shared" si="478"/>
        <v>268.666100813897</v>
      </c>
      <c r="V551" s="4">
        <f t="shared" si="479"/>
        <v>1.5670742259940138</v>
      </c>
      <c r="W551" t="str">
        <f t="shared" si="466"/>
        <v>1-53,4553022500367i</v>
      </c>
      <c r="X551" s="4">
        <f t="shared" si="480"/>
        <v>53.464655040903224</v>
      </c>
      <c r="Y551" s="4">
        <f t="shared" si="481"/>
        <v>-1.5520912904549191</v>
      </c>
      <c r="Z551" t="str">
        <f t="shared" si="467"/>
        <v>-17,2835275845951+7,34432618039199i</v>
      </c>
      <c r="AA551" s="4">
        <f t="shared" si="482"/>
        <v>18.779229292264656</v>
      </c>
      <c r="AB551" s="4">
        <f t="shared" si="483"/>
        <v>2.7397794945468341</v>
      </c>
      <c r="AC551" s="47" t="str">
        <f t="shared" si="484"/>
        <v>-0,157988193337274+0,356836812106926i</v>
      </c>
      <c r="AD551" s="20">
        <f t="shared" si="485"/>
        <v>-8.1732068633592689</v>
      </c>
      <c r="AE551" s="43">
        <f t="shared" si="486"/>
        <v>113.88119221413055</v>
      </c>
      <c r="AF551" t="str">
        <f t="shared" si="468"/>
        <v>171,265703090588</v>
      </c>
      <c r="AG551" t="str">
        <f t="shared" si="469"/>
        <v>1+106054,74221482i</v>
      </c>
      <c r="AH551">
        <f t="shared" si="487"/>
        <v>106054.74221953453</v>
      </c>
      <c r="AI551">
        <f t="shared" si="488"/>
        <v>1.5707868977021555</v>
      </c>
      <c r="AJ551" t="str">
        <f t="shared" si="470"/>
        <v>1+268,664239761348i</v>
      </c>
      <c r="AK551">
        <f t="shared" si="489"/>
        <v>268.666100813897</v>
      </c>
      <c r="AL551">
        <f t="shared" si="490"/>
        <v>1.5670742259940138</v>
      </c>
      <c r="AM551" t="str">
        <f t="shared" si="471"/>
        <v>1-16,8883766083946i</v>
      </c>
      <c r="AN551">
        <f t="shared" si="491"/>
        <v>16.91795686443756</v>
      </c>
      <c r="AO551">
        <f t="shared" si="492"/>
        <v>-1.5116530606385348</v>
      </c>
      <c r="AP551" s="41" t="str">
        <f t="shared" si="493"/>
        <v>0,406656959745958-7,32881158975525i</v>
      </c>
      <c r="AQ551">
        <f t="shared" si="494"/>
        <v>17.314021896008157</v>
      </c>
      <c r="AR551" s="43">
        <f t="shared" si="495"/>
        <v>-86.824060882215704</v>
      </c>
      <c r="AS551" t="str">
        <f t="shared" si="472"/>
        <v>-0,0000166666666666667</v>
      </c>
      <c r="AT551" t="str">
        <f t="shared" si="473"/>
        <v>0,0204453486458386i</v>
      </c>
      <c r="AU551">
        <f t="shared" si="496"/>
        <v>2.04453486458386E-2</v>
      </c>
      <c r="AV551">
        <f t="shared" si="497"/>
        <v>1.5707963267948966</v>
      </c>
      <c r="AW551" t="str">
        <f t="shared" si="474"/>
        <v>1+64,0769507446579i</v>
      </c>
      <c r="AX551">
        <f t="shared" si="498"/>
        <v>64.08475338747364</v>
      </c>
      <c r="AY551">
        <f t="shared" si="499"/>
        <v>1.5551913578415288</v>
      </c>
      <c r="AZ551" t="str">
        <f t="shared" si="475"/>
        <v>1+4432,95995606224i</v>
      </c>
      <c r="BA551">
        <f t="shared" si="500"/>
        <v>4432.960068853693</v>
      </c>
      <c r="BB551">
        <f t="shared" si="501"/>
        <v>1.5705707438902574</v>
      </c>
      <c r="BC551" s="41" t="str">
        <f t="shared" si="502"/>
        <v>-0,00086719189242672+0,0563821935152756i</v>
      </c>
      <c r="BD551">
        <f t="shared" si="503"/>
        <v>-24.976133385653295</v>
      </c>
      <c r="BE551" s="43">
        <f t="shared" si="504"/>
        <v>90.881173912094525</v>
      </c>
      <c r="BF551" s="41" t="str">
        <f t="shared" si="505"/>
        <v>-0,0199822361132255-0,00921716688024948i</v>
      </c>
      <c r="BG551" s="20">
        <f t="shared" si="506"/>
        <v>-33.149340249012567</v>
      </c>
      <c r="BH551" s="43">
        <f t="shared" si="507"/>
        <v>-155.23763387377491</v>
      </c>
      <c r="BI551" s="41" t="str">
        <f t="shared" si="460"/>
        <v>0,412861823672085+0,029283697390489i</v>
      </c>
      <c r="BJ551" s="20">
        <f t="shared" si="508"/>
        <v>-7.6621114896451292</v>
      </c>
      <c r="BK551" s="43">
        <f t="shared" si="461"/>
        <v>4.0571130298788258</v>
      </c>
      <c r="BL551">
        <f t="shared" si="509"/>
        <v>-33.149340249012567</v>
      </c>
      <c r="BM551" s="43">
        <f t="shared" si="510"/>
        <v>-155.23763387377491</v>
      </c>
    </row>
    <row r="552" spans="14:65" x14ac:dyDescent="0.25">
      <c r="N552" s="9">
        <v>34</v>
      </c>
      <c r="O552" s="34">
        <f t="shared" si="462"/>
        <v>2187761.6239495561</v>
      </c>
      <c r="P552" s="33" t="str">
        <f t="shared" si="463"/>
        <v>54,631621870174</v>
      </c>
      <c r="Q552" s="4" t="str">
        <f t="shared" si="464"/>
        <v>1+109573,696694507i</v>
      </c>
      <c r="R552" s="4">
        <f t="shared" si="476"/>
        <v>109573.69669907013</v>
      </c>
      <c r="S552" s="4">
        <f t="shared" si="477"/>
        <v>1.5707872005170569</v>
      </c>
      <c r="T552" s="4" t="str">
        <f t="shared" si="465"/>
        <v>1+274,922233824224i</v>
      </c>
      <c r="U552" s="4">
        <f t="shared" si="478"/>
        <v>274.92405251432859</v>
      </c>
      <c r="V552" s="4">
        <f t="shared" si="479"/>
        <v>1.567158950596117</v>
      </c>
      <c r="W552" t="str">
        <f t="shared" si="466"/>
        <v>1-54,7004361927122i</v>
      </c>
      <c r="X552" s="4">
        <f t="shared" si="480"/>
        <v>54.709576124047786</v>
      </c>
      <c r="Y552" s="4">
        <f t="shared" si="481"/>
        <v>-1.5525169731213841</v>
      </c>
      <c r="Z552" t="str">
        <f t="shared" si="467"/>
        <v>-18,1452036929056+7,5153975134192i</v>
      </c>
      <c r="AA552" s="4">
        <f t="shared" si="482"/>
        <v>19.640000428761262</v>
      </c>
      <c r="AB552" s="4">
        <f t="shared" si="483"/>
        <v>2.7489214175539374</v>
      </c>
      <c r="AC552" s="47" t="str">
        <f t="shared" si="484"/>
        <v>-0,151263591129141+0,35059240866067i</v>
      </c>
      <c r="AD552" s="20">
        <f t="shared" si="485"/>
        <v>-8.3625525181582994</v>
      </c>
      <c r="AE552" s="43">
        <f t="shared" si="486"/>
        <v>113.3378509712707</v>
      </c>
      <c r="AF552" t="str">
        <f t="shared" si="468"/>
        <v>171,265703090588</v>
      </c>
      <c r="AG552" t="str">
        <f t="shared" si="469"/>
        <v>1+108525,074506567i</v>
      </c>
      <c r="AH552">
        <f t="shared" si="487"/>
        <v>108525.07451117424</v>
      </c>
      <c r="AI552">
        <f t="shared" si="488"/>
        <v>1.5707871123345103</v>
      </c>
      <c r="AJ552" t="str">
        <f t="shared" si="470"/>
        <v>1+274,922233824224i</v>
      </c>
      <c r="AK552">
        <f t="shared" si="489"/>
        <v>274.92405251432859</v>
      </c>
      <c r="AL552">
        <f t="shared" si="490"/>
        <v>1.567158950596117</v>
      </c>
      <c r="AM552" t="str">
        <f t="shared" si="471"/>
        <v>1-17,2817574343684i</v>
      </c>
      <c r="AN552">
        <f t="shared" si="491"/>
        <v>17.31066549906004</v>
      </c>
      <c r="AO552">
        <f t="shared" si="492"/>
        <v>-1.5129962945290558</v>
      </c>
      <c r="AP552" s="41" t="str">
        <f t="shared" si="493"/>
        <v>0,406656959062265-7,49944734358598i</v>
      </c>
      <c r="AQ552">
        <f t="shared" si="494"/>
        <v>17.51333621009573</v>
      </c>
      <c r="AR552" s="43">
        <f t="shared" si="495"/>
        <v>-86.896180450448128</v>
      </c>
      <c r="AS552" t="str">
        <f t="shared" si="472"/>
        <v>-0,0000166666666666667</v>
      </c>
      <c r="AT552" t="str">
        <f t="shared" si="473"/>
        <v>0,0209215819940235i</v>
      </c>
      <c r="AU552">
        <f t="shared" si="496"/>
        <v>2.0921581994023501E-2</v>
      </c>
      <c r="AV552">
        <f t="shared" si="497"/>
        <v>1.5707963267948966</v>
      </c>
      <c r="AW552" t="str">
        <f t="shared" si="474"/>
        <v>1+65,5694946637275i</v>
      </c>
      <c r="AX552">
        <f t="shared" si="498"/>
        <v>65.577119717601107</v>
      </c>
      <c r="AY552">
        <f t="shared" si="499"/>
        <v>1.5555465145917959</v>
      </c>
      <c r="AZ552" t="str">
        <f t="shared" si="475"/>
        <v>1+4536,2168580997i</v>
      </c>
      <c r="BA552">
        <f t="shared" si="500"/>
        <v>4536.2169683237062</v>
      </c>
      <c r="BB552">
        <f t="shared" si="501"/>
        <v>1.5705758787839037</v>
      </c>
      <c r="BC552" s="41" t="str">
        <f t="shared" si="502"/>
        <v>-0,000828170903927645+0,0550993732111403i</v>
      </c>
      <c r="BD552">
        <f t="shared" si="503"/>
        <v>-25.176085800601633</v>
      </c>
      <c r="BE552" s="43">
        <f t="shared" si="504"/>
        <v>90.861119136972818</v>
      </c>
      <c r="BF552" s="41" t="str">
        <f t="shared" si="505"/>
        <v>-0,0191921498647901-0,00862487949287255i</v>
      </c>
      <c r="BG552" s="20">
        <f t="shared" si="506"/>
        <v>-33.538638318759936</v>
      </c>
      <c r="BH552" s="43">
        <f t="shared" si="507"/>
        <v>-155.80102989175646</v>
      </c>
      <c r="BI552" s="41" t="str">
        <f t="shared" si="460"/>
        <v>0,412878066600164+0,0286173676417745i</v>
      </c>
      <c r="BJ552" s="20">
        <f t="shared" si="508"/>
        <v>-7.6627495905058947</v>
      </c>
      <c r="BK552" s="43">
        <f t="shared" si="461"/>
        <v>3.9649386865246909</v>
      </c>
      <c r="BL552">
        <f t="shared" si="509"/>
        <v>-33.538638318759936</v>
      </c>
      <c r="BM552" s="43">
        <f t="shared" si="510"/>
        <v>-155.80102989175646</v>
      </c>
    </row>
    <row r="553" spans="14:65" x14ac:dyDescent="0.25">
      <c r="N553" s="9">
        <v>35</v>
      </c>
      <c r="O553" s="34">
        <f t="shared" si="462"/>
        <v>2238721.1385683389</v>
      </c>
      <c r="P553" s="33" t="str">
        <f t="shared" si="463"/>
        <v>54,631621870174</v>
      </c>
      <c r="Q553" s="4" t="str">
        <f t="shared" si="464"/>
        <v>1+112125,995965785i</v>
      </c>
      <c r="R553" s="4">
        <f t="shared" si="476"/>
        <v>112125.99597024427</v>
      </c>
      <c r="S553" s="4">
        <f t="shared" si="477"/>
        <v>1.5707874082565028</v>
      </c>
      <c r="T553" s="4" t="str">
        <f t="shared" si="465"/>
        <v>1+281,325995294498i</v>
      </c>
      <c r="U553" s="4">
        <f t="shared" si="478"/>
        <v>281.32777258642619</v>
      </c>
      <c r="V553" s="4">
        <f t="shared" si="479"/>
        <v>1.5672417466812825</v>
      </c>
      <c r="W553" t="str">
        <f t="shared" si="466"/>
        <v>1-55,9745730307027i</v>
      </c>
      <c r="X553" s="4">
        <f t="shared" si="480"/>
        <v>55.983504945380744</v>
      </c>
      <c r="Y553" s="4">
        <f t="shared" si="481"/>
        <v>-1.5529329724694818</v>
      </c>
      <c r="Z553" t="str">
        <f t="shared" si="467"/>
        <v>-19,0474893450908+7,69045360968604i</v>
      </c>
      <c r="AA553" s="4">
        <f t="shared" si="482"/>
        <v>20.541419792070865</v>
      </c>
      <c r="AB553" s="4">
        <f t="shared" si="483"/>
        <v>2.7578563593520267</v>
      </c>
      <c r="AC553" s="47" t="str">
        <f t="shared" si="484"/>
        <v>-0,144807824245572+0,344369561008146i</v>
      </c>
      <c r="AD553" s="20">
        <f t="shared" si="485"/>
        <v>-8.5523997119773352</v>
      </c>
      <c r="AE553" s="43">
        <f t="shared" si="486"/>
        <v>112.80681347276561</v>
      </c>
      <c r="AF553" t="str">
        <f t="shared" si="468"/>
        <v>171,265703090588</v>
      </c>
      <c r="AG553" t="str">
        <f t="shared" si="469"/>
        <v>1+111052,948229317i</v>
      </c>
      <c r="AH553">
        <f t="shared" si="487"/>
        <v>111052.94823381936</v>
      </c>
      <c r="AI553">
        <f t="shared" si="488"/>
        <v>1.5707873220812361</v>
      </c>
      <c r="AJ553" t="str">
        <f t="shared" si="470"/>
        <v>1+281,325995294498i</v>
      </c>
      <c r="AK553">
        <f t="shared" si="489"/>
        <v>281.32777258642619</v>
      </c>
      <c r="AL553">
        <f t="shared" si="490"/>
        <v>1.5672417466812825</v>
      </c>
      <c r="AM553" t="str">
        <f t="shared" si="471"/>
        <v>1-17,684301276885i</v>
      </c>
      <c r="AN553">
        <f t="shared" si="491"/>
        <v>17.712552375409832</v>
      </c>
      <c r="AO553">
        <f t="shared" si="492"/>
        <v>-1.5143091544814586</v>
      </c>
      <c r="AP553" s="41" t="str">
        <f t="shared" si="493"/>
        <v>0,406656958409339-7,67405940366511i</v>
      </c>
      <c r="AQ553">
        <f>20*LOG(IMABS(AP553))</f>
        <v>17.712681284852245</v>
      </c>
      <c r="AR553" s="43">
        <f t="shared" si="495"/>
        <v>-86.966669936174526</v>
      </c>
      <c r="AS553" t="str">
        <f t="shared" si="472"/>
        <v>-0,0000166666666666667</v>
      </c>
      <c r="AT553" t="str">
        <f t="shared" si="473"/>
        <v>0,0214089082419114i</v>
      </c>
      <c r="AU553">
        <f t="shared" si="496"/>
        <v>2.1408908241911401E-2</v>
      </c>
      <c r="AV553">
        <f t="shared" si="497"/>
        <v>1.5707963267948966</v>
      </c>
      <c r="AW553" t="str">
        <f t="shared" si="474"/>
        <v>1+67,0968043967823i</v>
      </c>
      <c r="AX553">
        <f t="shared" si="498"/>
        <v>67.104255902737378</v>
      </c>
      <c r="AY553">
        <f t="shared" si="499"/>
        <v>1.5558935907051656</v>
      </c>
      <c r="AZ553" t="str">
        <f t="shared" si="475"/>
        <v>1+4641,87892235922i</v>
      </c>
      <c r="BA553">
        <f t="shared" si="500"/>
        <v>4641.8790300742212</v>
      </c>
      <c r="BB553">
        <f t="shared" si="501"/>
        <v>1.5705808967931116</v>
      </c>
      <c r="BC553" s="41" t="str">
        <f t="shared" si="502"/>
        <v>-0,000790905350799332+0,0538457137530826i</v>
      </c>
      <c r="BD553">
        <f t="shared" si="503"/>
        <v>-25.376040356743168</v>
      </c>
      <c r="BE553" s="43">
        <f t="shared" si="504"/>
        <v>90.841520651256104</v>
      </c>
      <c r="BF553" s="41" t="str">
        <f t="shared" si="505"/>
        <v>-0,0184282955242859-0,00806964438198752i</v>
      </c>
      <c r="BG553" s="20">
        <f t="shared" si="506"/>
        <v>-33.928440068720512</v>
      </c>
      <c r="BH553" s="43">
        <f t="shared" si="507"/>
        <v>-156.35166587597828</v>
      </c>
      <c r="BI553" s="41" t="str">
        <f t="shared" si="460"/>
        <v>0,412893578809558+0,0279661888229191i</v>
      </c>
      <c r="BJ553" s="20">
        <f t="shared" si="508"/>
        <v>-7.6633590718909161</v>
      </c>
      <c r="BK553" s="43">
        <f t="shared" si="461"/>
        <v>3.8748507150815725</v>
      </c>
      <c r="BL553">
        <f t="shared" si="509"/>
        <v>-33.928440068720512</v>
      </c>
      <c r="BM553" s="43">
        <f t="shared" si="510"/>
        <v>-156.35166587597828</v>
      </c>
    </row>
    <row r="554" spans="14:65" x14ac:dyDescent="0.25">
      <c r="N554" s="9">
        <v>36</v>
      </c>
      <c r="O554" s="34">
        <f t="shared" si="462"/>
        <v>2290867.6527677765</v>
      </c>
      <c r="P554" s="33" t="str">
        <f t="shared" si="463"/>
        <v>54,631621870174</v>
      </c>
      <c r="Q554" s="4" t="str">
        <f t="shared" si="464"/>
        <v>1+114737,745924289i</v>
      </c>
      <c r="R554" s="4">
        <f t="shared" si="476"/>
        <v>114737.74592864678</v>
      </c>
      <c r="S554" s="4">
        <f t="shared" si="477"/>
        <v>1.5707876112672217</v>
      </c>
      <c r="T554" s="4" t="str">
        <f t="shared" si="465"/>
        <v>1+287,87891953127i</v>
      </c>
      <c r="U554" s="4">
        <f t="shared" si="478"/>
        <v>287.8806563673416</v>
      </c>
      <c r="V554" s="4">
        <f t="shared" si="479"/>
        <v>1.5673226581445476</v>
      </c>
      <c r="W554" t="str">
        <f t="shared" si="466"/>
        <v>1-57,2783883282257i</v>
      </c>
      <c r="X554" s="4">
        <f t="shared" si="480"/>
        <v>57.287116959042571</v>
      </c>
      <c r="Y554" s="4">
        <f t="shared" si="481"/>
        <v>-1.5533395084913153</v>
      </c>
      <c r="Z554" t="str">
        <f t="shared" si="467"/>
        <v>-19,9922984099911+7,869587286252i</v>
      </c>
      <c r="AA554" s="4">
        <f t="shared" si="482"/>
        <v>21.485399688394718</v>
      </c>
      <c r="AB554" s="4">
        <f t="shared" si="483"/>
        <v>2.7665888719384157</v>
      </c>
      <c r="AC554" s="47" t="str">
        <f t="shared" si="484"/>
        <v>-0,138611741216659+0,338175286840532i</v>
      </c>
      <c r="AD554" s="20">
        <f t="shared" si="485"/>
        <v>-8.7427241302234151</v>
      </c>
      <c r="AE554" s="43">
        <f t="shared" si="486"/>
        <v>112.28780881245147</v>
      </c>
      <c r="AF554" t="str">
        <f t="shared" si="468"/>
        <v>171,265703090588</v>
      </c>
      <c r="AG554" t="str">
        <f t="shared" si="469"/>
        <v>1+113639,703695178i</v>
      </c>
      <c r="AH554">
        <f t="shared" si="487"/>
        <v>113639.70369957788</v>
      </c>
      <c r="AI554">
        <f t="shared" si="488"/>
        <v>1.5707875270535434</v>
      </c>
      <c r="AJ554" t="str">
        <f t="shared" si="470"/>
        <v>1+287,87891953127i</v>
      </c>
      <c r="AK554">
        <f t="shared" si="489"/>
        <v>287.8806563673416</v>
      </c>
      <c r="AL554">
        <f t="shared" si="490"/>
        <v>1.5673226581445476</v>
      </c>
      <c r="AM554" t="str">
        <f t="shared" si="471"/>
        <v>1-18,0962215700181i</v>
      </c>
      <c r="AN554">
        <f t="shared" si="491"/>
        <v>18.123830586031982</v>
      </c>
      <c r="AO554">
        <f t="shared" si="492"/>
        <v>-1.5155923184784481</v>
      </c>
      <c r="AP554" s="41" t="str">
        <f t="shared" si="493"/>
        <v>0,406656957785803-7,85274035161835i</v>
      </c>
      <c r="AQ554">
        <f t="shared" si="494"/>
        <v>17.912055744615859</v>
      </c>
      <c r="AR554" s="43">
        <f t="shared" si="495"/>
        <v>-87.035565676313965</v>
      </c>
      <c r="AS554" t="str">
        <f t="shared" si="472"/>
        <v>-0,0000166666666666667</v>
      </c>
      <c r="AT554" t="str">
        <f t="shared" si="473"/>
        <v>0,0219075857763296i</v>
      </c>
      <c r="AU554">
        <f t="shared" si="496"/>
        <v>2.1907585776329602E-2</v>
      </c>
      <c r="AV554">
        <f t="shared" si="497"/>
        <v>1.5707963267948966</v>
      </c>
      <c r="AW554" t="str">
        <f t="shared" si="474"/>
        <v>1+68,6596897436603i</v>
      </c>
      <c r="AX554">
        <f t="shared" si="498"/>
        <v>68.666971650828543</v>
      </c>
      <c r="AY554">
        <f t="shared" si="499"/>
        <v>1.5562327698713203</v>
      </c>
      <c r="AZ554" t="str">
        <f t="shared" si="475"/>
        <v>1+4750,00217226596i</v>
      </c>
      <c r="BA554">
        <f t="shared" si="500"/>
        <v>4750.0022775290681</v>
      </c>
      <c r="BB554">
        <f t="shared" si="501"/>
        <v>1.5705858005784952</v>
      </c>
      <c r="BC554" s="41" t="str">
        <f t="shared" si="502"/>
        <v>-0,000755316295664083+0,0526205540083213i</v>
      </c>
      <c r="BD554">
        <f t="shared" si="503"/>
        <v>-25.575996957751222</v>
      </c>
      <c r="BE554" s="43">
        <f t="shared" si="504"/>
        <v>90.822368082742784</v>
      </c>
      <c r="BF554" s="41" t="str">
        <f t="shared" si="505"/>
        <v>-0,0176902752385604-0,00754925591982019i</v>
      </c>
      <c r="BG554" s="20">
        <f t="shared" si="506"/>
        <v>-34.318721087974652</v>
      </c>
      <c r="BH554" s="43">
        <f t="shared" si="507"/>
        <v>-156.88982310480569</v>
      </c>
      <c r="BI554" s="41" t="str">
        <f t="shared" si="460"/>
        <v>0,412908393158697+0,0273298171632237i</v>
      </c>
      <c r="BJ554" s="20">
        <f t="shared" si="508"/>
        <v>-7.6639412131353533</v>
      </c>
      <c r="BK554" s="43">
        <f t="shared" si="461"/>
        <v>3.7868024064288179</v>
      </c>
      <c r="BL554">
        <f t="shared" si="509"/>
        <v>-34.318721087974652</v>
      </c>
      <c r="BM554" s="43">
        <f t="shared" si="510"/>
        <v>-156.88982310480569</v>
      </c>
    </row>
    <row r="555" spans="14:65" x14ac:dyDescent="0.25">
      <c r="N555" s="9">
        <v>37</v>
      </c>
      <c r="O555" s="34">
        <f t="shared" si="462"/>
        <v>2344228.8153199251</v>
      </c>
      <c r="P555" s="33" t="str">
        <f t="shared" si="463"/>
        <v>54,631621870174</v>
      </c>
      <c r="Q555" s="4" t="str">
        <f t="shared" si="464"/>
        <v>1+117410,331354415i</v>
      </c>
      <c r="R555" s="4">
        <f t="shared" si="476"/>
        <v>117410.33135867359</v>
      </c>
      <c r="S555" s="4">
        <f t="shared" si="477"/>
        <v>1.5707878096568524</v>
      </c>
      <c r="T555" s="4" t="str">
        <f t="shared" si="465"/>
        <v>1+294,584480981704i</v>
      </c>
      <c r="U555" s="4">
        <f t="shared" si="478"/>
        <v>294.5861782827904</v>
      </c>
      <c r="V555" s="4">
        <f t="shared" si="479"/>
        <v>1.5674017278820009</v>
      </c>
      <c r="W555" t="str">
        <f t="shared" si="466"/>
        <v>1-58,6125733854092i</v>
      </c>
      <c r="X555" s="4">
        <f t="shared" si="480"/>
        <v>58.621103357579166</v>
      </c>
      <c r="Y555" s="4">
        <f t="shared" si="481"/>
        <v>-1.5537367961998452</v>
      </c>
      <c r="Z555" t="str">
        <f t="shared" si="467"/>
        <v>-20,9816349543052+8,0528935221634i</v>
      </c>
      <c r="AA555" s="4">
        <f t="shared" si="482"/>
        <v>22.473942676687219</v>
      </c>
      <c r="AB555" s="4">
        <f t="shared" si="483"/>
        <v>2.7751234230402151</v>
      </c>
      <c r="AC555" s="47" t="str">
        <f t="shared" si="484"/>
        <v>-0,132666348091329+0,332016004373311i</v>
      </c>
      <c r="AD555" s="20">
        <f t="shared" si="485"/>
        <v>-8.9335026812987159</v>
      </c>
      <c r="AE555" s="43">
        <f t="shared" si="486"/>
        <v>111.78057114068319</v>
      </c>
      <c r="AF555" t="str">
        <f t="shared" si="468"/>
        <v>171,265703090588</v>
      </c>
      <c r="AG555" t="str">
        <f t="shared" si="469"/>
        <v>1+116286,712436137i</v>
      </c>
      <c r="AH555">
        <f t="shared" si="487"/>
        <v>116286.71244043671</v>
      </c>
      <c r="AI555">
        <f t="shared" si="488"/>
        <v>1.5707877273601114</v>
      </c>
      <c r="AJ555" t="str">
        <f t="shared" si="470"/>
        <v>1+294,584480981704i</v>
      </c>
      <c r="AK555">
        <f t="shared" si="489"/>
        <v>294.5861782827904</v>
      </c>
      <c r="AL555">
        <f t="shared" si="490"/>
        <v>1.5674017278820009</v>
      </c>
      <c r="AM555" t="str">
        <f t="shared" si="471"/>
        <v>1-18,5177367193593i</v>
      </c>
      <c r="AN555">
        <f t="shared" si="491"/>
        <v>18.544718202429166</v>
      </c>
      <c r="AO555">
        <f t="shared" si="492"/>
        <v>-1.5168464499590508</v>
      </c>
      <c r="AP555" s="41" t="str">
        <f t="shared" si="493"/>
        <v>0,406656957190331-8,03558492644927i</v>
      </c>
      <c r="AQ555">
        <f t="shared" si="494"/>
        <v>18.111458274868923</v>
      </c>
      <c r="AR555" s="43">
        <f t="shared" si="495"/>
        <v>-87.102903231584662</v>
      </c>
      <c r="AS555" t="str">
        <f t="shared" si="472"/>
        <v>-0,0000166666666666667</v>
      </c>
      <c r="AT555" t="str">
        <f t="shared" si="473"/>
        <v>0,0224178790027076i</v>
      </c>
      <c r="AU555">
        <f t="shared" si="496"/>
        <v>2.24178790027076E-2</v>
      </c>
      <c r="AV555">
        <f t="shared" si="497"/>
        <v>1.5707963267948966</v>
      </c>
      <c r="AW555" t="str">
        <f t="shared" si="474"/>
        <v>1+70,2589793668584i</v>
      </c>
      <c r="AX555">
        <f t="shared" si="498"/>
        <v>70.266095534565139</v>
      </c>
      <c r="AY555">
        <f t="shared" si="499"/>
        <v>1.556564231615204</v>
      </c>
      <c r="AZ555" t="str">
        <f t="shared" si="475"/>
        <v>1+4860,64393619812i</v>
      </c>
      <c r="BA555">
        <f t="shared" si="500"/>
        <v>4860.6440390651478</v>
      </c>
      <c r="BB555">
        <f t="shared" si="501"/>
        <v>1.5705905927401052</v>
      </c>
      <c r="BC555" s="41" t="str">
        <f t="shared" si="502"/>
        <v>-0,000721328347735065+0,0514232477166194i</v>
      </c>
      <c r="BD555">
        <f t="shared" si="503"/>
        <v>-25.775955511630578</v>
      </c>
      <c r="BE555" s="43">
        <f t="shared" si="504"/>
        <v>90.803651294383201</v>
      </c>
      <c r="BF555" s="41" t="str">
        <f t="shared" si="505"/>
        <v>-0,0169776452411022-0,00706162703741587i</v>
      </c>
      <c r="BG555" s="20">
        <f t="shared" si="506"/>
        <v>-34.709458192929297</v>
      </c>
      <c r="BH555" s="43">
        <f t="shared" si="507"/>
        <v>-157.41577756493359</v>
      </c>
      <c r="BI555" s="41" t="str">
        <f t="shared" si="460"/>
        <v>0,412922541029709+0,0267079166433655i</v>
      </c>
      <c r="BJ555" s="20">
        <f t="shared" si="508"/>
        <v>-7.6644972367616484</v>
      </c>
      <c r="BK555" s="43">
        <f t="shared" si="461"/>
        <v>3.7007480627985401</v>
      </c>
      <c r="BL555">
        <f t="shared" si="509"/>
        <v>-34.709458192929297</v>
      </c>
      <c r="BM555" s="43">
        <f t="shared" si="510"/>
        <v>-157.41577756493359</v>
      </c>
    </row>
    <row r="556" spans="14:65" x14ac:dyDescent="0.25">
      <c r="N556" s="9">
        <v>38</v>
      </c>
      <c r="O556" s="34">
        <f t="shared" si="462"/>
        <v>2398832.9190194933</v>
      </c>
      <c r="P556" s="33" t="str">
        <f t="shared" si="463"/>
        <v>54,631621870174</v>
      </c>
      <c r="Q556" s="4" t="str">
        <f t="shared" si="464"/>
        <v>1+120145,169296334i</v>
      </c>
      <c r="R556" s="4">
        <f t="shared" si="476"/>
        <v>120145.16930049565</v>
      </c>
      <c r="S556" s="4">
        <f t="shared" si="477"/>
        <v>1.5707880035305837</v>
      </c>
      <c r="T556" s="4" t="str">
        <f t="shared" si="465"/>
        <v>1+301,44623502324i</v>
      </c>
      <c r="U556" s="4">
        <f t="shared" si="478"/>
        <v>301.44789368925177</v>
      </c>
      <c r="V556" s="4">
        <f t="shared" si="479"/>
        <v>1.5674789978135069</v>
      </c>
      <c r="W556" t="str">
        <f t="shared" si="466"/>
        <v>1-59,9778356048305i</v>
      </c>
      <c r="X556" s="4">
        <f t="shared" si="480"/>
        <v>59.986171438424655</v>
      </c>
      <c r="Y556" s="4">
        <f t="shared" si="481"/>
        <v>-1.5541250457403302</v>
      </c>
      <c r="Z556" t="str">
        <f t="shared" si="467"/>
        <v>-22,0175974934864+8,24046950881286i</v>
      </c>
      <c r="AA556" s="4">
        <f t="shared" si="482"/>
        <v>23.509145818401251</v>
      </c>
      <c r="AB556" s="4">
        <f t="shared" si="483"/>
        <v>2.783464395876734</v>
      </c>
      <c r="AC556" s="47" t="str">
        <f t="shared" si="484"/>
        <v>-0,126962822851388+0,32589756833442i</v>
      </c>
      <c r="AD556" s="20">
        <f t="shared" si="485"/>
        <v>-9.124713433299199</v>
      </c>
      <c r="AE556" s="43">
        <f t="shared" si="486"/>
        <v>111.28483967286174</v>
      </c>
      <c r="AF556" t="str">
        <f t="shared" si="468"/>
        <v>171,265703090588</v>
      </c>
      <c r="AG556" t="str">
        <f t="shared" si="469"/>
        <v>1+118995,377931266i</v>
      </c>
      <c r="AH556">
        <f t="shared" si="487"/>
        <v>118995.37793546784</v>
      </c>
      <c r="AI556">
        <f t="shared" si="488"/>
        <v>1.5707879231071453</v>
      </c>
      <c r="AJ556" t="str">
        <f t="shared" si="470"/>
        <v>1+301,44623502324i</v>
      </c>
      <c r="AK556">
        <f t="shared" si="489"/>
        <v>301.44789368925177</v>
      </c>
      <c r="AL556">
        <f t="shared" si="490"/>
        <v>1.5674789978135069</v>
      </c>
      <c r="AM556" t="str">
        <f t="shared" si="471"/>
        <v>1-18,9490702178204i</v>
      </c>
      <c r="AN556">
        <f t="shared" si="491"/>
        <v>18.975438390716775</v>
      </c>
      <c r="AO556">
        <f t="shared" si="492"/>
        <v>-1.5180721980909941</v>
      </c>
      <c r="AP556" s="41" t="str">
        <f t="shared" si="493"/>
        <v>0,406656956621658-8,22269007477175i</v>
      </c>
      <c r="AQ556">
        <f t="shared" si="494"/>
        <v>18.310887619553963</v>
      </c>
      <c r="AR556" s="43">
        <f t="shared" si="495"/>
        <v>-87.168717400811417</v>
      </c>
      <c r="AS556" t="str">
        <f t="shared" si="472"/>
        <v>-0,0000166666666666667</v>
      </c>
      <c r="AT556" t="str">
        <f t="shared" si="473"/>
        <v>0,0229400584852686i</v>
      </c>
      <c r="AU556">
        <f t="shared" si="496"/>
        <v>2.2940058485268599E-2</v>
      </c>
      <c r="AV556">
        <f t="shared" si="497"/>
        <v>1.5707963267948966</v>
      </c>
      <c r="AW556" t="str">
        <f t="shared" si="474"/>
        <v>1+71,8955212309041i</v>
      </c>
      <c r="AX556">
        <f t="shared" si="498"/>
        <v>71.902475430706701</v>
      </c>
      <c r="AY556">
        <f t="shared" si="499"/>
        <v>1.55688815139072</v>
      </c>
      <c r="AZ556" t="str">
        <f t="shared" si="475"/>
        <v>1+4973,86287788346i</v>
      </c>
      <c r="BA556">
        <f t="shared" si="500"/>
        <v>4973.8629784089489</v>
      </c>
      <c r="BB556">
        <f t="shared" si="501"/>
        <v>1.5705952758188086</v>
      </c>
      <c r="BC556" s="41" t="str">
        <f t="shared" si="502"/>
        <v>-0,000688869503736406+0,0502531631635178i</v>
      </c>
      <c r="BD556">
        <f t="shared" si="503"/>
        <v>-25.975915930523339</v>
      </c>
      <c r="BE556" s="43">
        <f t="shared" si="504"/>
        <v>90.785360378990148</v>
      </c>
      <c r="BF556" s="41" t="str">
        <f t="shared" si="505"/>
        <v>-0,0162899228593327-0,00660478434861904i</v>
      </c>
      <c r="BG556" s="20">
        <f t="shared" si="506"/>
        <v>-35.100629363822534</v>
      </c>
      <c r="BH556" s="43">
        <f t="shared" si="507"/>
        <v>-157.92979994814812</v>
      </c>
      <c r="BI556" s="41" t="str">
        <f t="shared" si="460"/>
        <v>0,412936052394644+0,026100158823874i</v>
      </c>
      <c r="BJ556" s="20">
        <f t="shared" si="508"/>
        <v>-7.6650283109693804</v>
      </c>
      <c r="BK556" s="43">
        <f t="shared" si="461"/>
        <v>3.6166429781787364</v>
      </c>
      <c r="BL556">
        <f t="shared" si="509"/>
        <v>-35.100629363822534</v>
      </c>
      <c r="BM556" s="43">
        <f t="shared" si="510"/>
        <v>-157.92979994814812</v>
      </c>
    </row>
    <row r="557" spans="14:65" x14ac:dyDescent="0.25">
      <c r="N557" s="9">
        <v>39</v>
      </c>
      <c r="O557" s="34">
        <f t="shared" si="462"/>
        <v>2454708.915685033</v>
      </c>
      <c r="P557" s="33" t="str">
        <f t="shared" si="463"/>
        <v>54,631621870174</v>
      </c>
      <c r="Q557" s="4" t="str">
        <f t="shared" si="464"/>
        <v>1+122943,709797323i</v>
      </c>
      <c r="R557" s="4">
        <f t="shared" si="476"/>
        <v>122943.70980138989</v>
      </c>
      <c r="S557" s="4">
        <f t="shared" si="477"/>
        <v>1.5707881929912102</v>
      </c>
      <c r="T557" s="4" t="str">
        <f t="shared" si="465"/>
        <v>1+308,467819848698i</v>
      </c>
      <c r="U557" s="4">
        <f t="shared" si="478"/>
        <v>308.46944075906259</v>
      </c>
      <c r="V557" s="4">
        <f t="shared" si="479"/>
        <v>1.5675545089049128</v>
      </c>
      <c r="W557" t="str">
        <f t="shared" si="466"/>
        <v>1-61,37489886659i</v>
      </c>
      <c r="X557" s="4">
        <f t="shared" si="480"/>
        <v>61.383044978920282</v>
      </c>
      <c r="Y557" s="4">
        <f t="shared" si="481"/>
        <v>-1.5545044624993565</v>
      </c>
      <c r="Z557" t="str">
        <f t="shared" si="467"/>
        <v>-23,1023834429743+8,43241470147141i</v>
      </c>
      <c r="AA557" s="4">
        <f t="shared" si="482"/>
        <v>24.593205127510412</v>
      </c>
      <c r="AB557" s="4">
        <f t="shared" si="483"/>
        <v>2.7916160891531021</v>
      </c>
      <c r="AC557" s="47" t="str">
        <f t="shared" si="484"/>
        <v>-0,121492527433214+0,319825304440372i</v>
      </c>
      <c r="AD557" s="20">
        <f t="shared" si="485"/>
        <v>-9.3163355539121522</v>
      </c>
      <c r="AE557" s="43">
        <f t="shared" si="486"/>
        <v>110.80035868482153</v>
      </c>
      <c r="AF557" t="str">
        <f t="shared" si="468"/>
        <v>171,265703090588</v>
      </c>
      <c r="AG557" t="str">
        <f t="shared" si="469"/>
        <v>1+121767,136350864i</v>
      </c>
      <c r="AH557">
        <f t="shared" si="487"/>
        <v>121767.13635497019</v>
      </c>
      <c r="AI557">
        <f t="shared" si="488"/>
        <v>1.5707881143984328</v>
      </c>
      <c r="AJ557" t="str">
        <f t="shared" si="470"/>
        <v>1+308,467819848698i</v>
      </c>
      <c r="AK557">
        <f t="shared" si="489"/>
        <v>308.46944075906259</v>
      </c>
      <c r="AL557">
        <f t="shared" si="490"/>
        <v>1.5675545089049128</v>
      </c>
      <c r="AM557" t="str">
        <f t="shared" si="471"/>
        <v>1-19,3904507641315i</v>
      </c>
      <c r="AN557">
        <f t="shared" si="491"/>
        <v>19.416219529975653</v>
      </c>
      <c r="AO557">
        <f t="shared" si="492"/>
        <v>-1.5192701980407231</v>
      </c>
      <c r="AP557" s="41" t="str">
        <f t="shared" si="493"/>
        <v>0,406656956078581-8,41415500221201i</v>
      </c>
      <c r="AQ557">
        <f t="shared" si="494"/>
        <v>18.510342578503668</v>
      </c>
      <c r="AR557" s="43">
        <f t="shared" si="495"/>
        <v>-87.233042235127186</v>
      </c>
      <c r="AS557" t="str">
        <f t="shared" si="472"/>
        <v>-0,0000166666666666667</v>
      </c>
      <c r="AT557" t="str">
        <f t="shared" si="473"/>
        <v>0,023474401090486i</v>
      </c>
      <c r="AU557">
        <f t="shared" si="496"/>
        <v>2.3474401090486E-2</v>
      </c>
      <c r="AV557">
        <f t="shared" si="497"/>
        <v>1.5707963267948966</v>
      </c>
      <c r="AW557" t="str">
        <f t="shared" si="474"/>
        <v>1+73,5701830519562i</v>
      </c>
      <c r="AX557">
        <f t="shared" si="498"/>
        <v>73.576978969636599</v>
      </c>
      <c r="AY557">
        <f t="shared" si="499"/>
        <v>1.5572047006723693</v>
      </c>
      <c r="AZ557" t="str">
        <f t="shared" si="475"/>
        <v>1+5089,71902750352i</v>
      </c>
      <c r="BA557">
        <f t="shared" si="500"/>
        <v>5089.7191257407685</v>
      </c>
      <c r="BB557">
        <f t="shared" si="501"/>
        <v>1.5705998522976348</v>
      </c>
      <c r="BC557" s="41" t="str">
        <f t="shared" si="502"/>
        <v>-0,000657870995935506+0,0491096828602291i</v>
      </c>
      <c r="BD557">
        <f t="shared" si="503"/>
        <v>-26.175878130522459</v>
      </c>
      <c r="BE557" s="43">
        <f t="shared" si="504"/>
        <v>90.76748565406551</v>
      </c>
      <c r="BF557" s="41" t="str">
        <f t="shared" si="505"/>
        <v>-0,0156265928617217-0,00617686328369039i</v>
      </c>
      <c r="BG557" s="20">
        <f t="shared" si="506"/>
        <v>-35.492213684434603</v>
      </c>
      <c r="BH557" s="43">
        <f t="shared" si="507"/>
        <v>-158.43215566111297</v>
      </c>
      <c r="BI557" s="41" t="str">
        <f t="shared" si="460"/>
        <v>0,412948955878743+0,0255062226771862i</v>
      </c>
      <c r="BJ557" s="20">
        <f t="shared" si="508"/>
        <v>-7.6655355520187785</v>
      </c>
      <c r="BK557" s="43">
        <f t="shared" si="461"/>
        <v>3.5344434189383285</v>
      </c>
      <c r="BL557">
        <f t="shared" si="509"/>
        <v>-35.492213684434603</v>
      </c>
      <c r="BM557" s="43">
        <f t="shared" si="510"/>
        <v>-158.43215566111297</v>
      </c>
    </row>
    <row r="558" spans="14:65" x14ac:dyDescent="0.25">
      <c r="N558" s="9">
        <v>40</v>
      </c>
      <c r="O558" s="34">
        <f t="shared" si="462"/>
        <v>2511886.431509587</v>
      </c>
      <c r="P558" s="33" t="str">
        <f t="shared" si="463"/>
        <v>54,631621870174</v>
      </c>
      <c r="Q558" s="4" t="str">
        <f t="shared" si="464"/>
        <v>1+125807,4366806i</v>
      </c>
      <c r="R558" s="4">
        <f t="shared" si="476"/>
        <v>125807.43668457435</v>
      </c>
      <c r="S558" s="4">
        <f t="shared" si="477"/>
        <v>1.5707883781391863</v>
      </c>
      <c r="T558" s="4" t="str">
        <f t="shared" si="465"/>
        <v>1+315,652958395296i</v>
      </c>
      <c r="U558" s="4">
        <f t="shared" si="478"/>
        <v>315.65454240942341</v>
      </c>
      <c r="V558" s="4">
        <f t="shared" si="479"/>
        <v>1.5676283011897529</v>
      </c>
      <c r="W558" t="str">
        <f t="shared" si="466"/>
        <v>1-62,8045039121218i</v>
      </c>
      <c r="X558" s="4">
        <f t="shared" si="480"/>
        <v>62.812464620071417</v>
      </c>
      <c r="Y558" s="4">
        <f t="shared" si="481"/>
        <v>-1.5548752472115033</v>
      </c>
      <c r="Z558" t="str">
        <f t="shared" si="467"/>
        <v>-24,2382937792079+8,62883087202094i</v>
      </c>
      <c r="AA558" s="4">
        <f t="shared" si="482"/>
        <v>25.728420230265407</v>
      </c>
      <c r="AB558" s="4">
        <f t="shared" si="483"/>
        <v>2.7995827172576941</v>
      </c>
      <c r="AC558" s="47" t="str">
        <f t="shared" si="484"/>
        <v>-0,11624701759373+0,313804042351003i</v>
      </c>
      <c r="AD558" s="20">
        <f t="shared" si="485"/>
        <v>-9.50834925338415</v>
      </c>
      <c r="AE558" s="43">
        <f t="shared" si="486"/>
        <v>110.32687749664849</v>
      </c>
      <c r="AF558" t="str">
        <f t="shared" si="468"/>
        <v>171,265703090588</v>
      </c>
      <c r="AG558" t="str">
        <f t="shared" si="469"/>
        <v>1+124603,457317935i</v>
      </c>
      <c r="AH558">
        <f t="shared" si="487"/>
        <v>124603.45732194773</v>
      </c>
      <c r="AI558">
        <f t="shared" si="488"/>
        <v>1.5707883013353989</v>
      </c>
      <c r="AJ558" t="str">
        <f t="shared" si="470"/>
        <v>1+315,652958395296i</v>
      </c>
      <c r="AK558">
        <f t="shared" si="489"/>
        <v>315.65454240942341</v>
      </c>
      <c r="AL558">
        <f t="shared" si="490"/>
        <v>1.5676283011897529</v>
      </c>
      <c r="AM558" t="str">
        <f t="shared" si="471"/>
        <v>1-19,8421123841008i</v>
      </c>
      <c r="AN558">
        <f t="shared" si="491"/>
        <v>19.867295333368514</v>
      </c>
      <c r="AO558">
        <f t="shared" si="492"/>
        <v>-1.5204410712408718</v>
      </c>
      <c r="AP558" s="41" t="str">
        <f t="shared" si="493"/>
        <v>0,406656955559945-8,61008122600899i</v>
      </c>
      <c r="AQ558">
        <f t="shared" si="494"/>
        <v>18.709822004981767</v>
      </c>
      <c r="AR558" s="43">
        <f t="shared" si="495"/>
        <v>-87.295911052057932</v>
      </c>
      <c r="AS558" t="str">
        <f t="shared" si="472"/>
        <v>-0,0000166666666666667</v>
      </c>
      <c r="AT558" t="str">
        <f t="shared" si="473"/>
        <v>0,024021190133882i</v>
      </c>
      <c r="AU558">
        <f t="shared" si="496"/>
        <v>2.4021190133882001E-2</v>
      </c>
      <c r="AV558">
        <f t="shared" si="497"/>
        <v>1.5707963267948966</v>
      </c>
      <c r="AW558" t="str">
        <f t="shared" si="474"/>
        <v>1+75,2838527578794i</v>
      </c>
      <c r="AX558">
        <f t="shared" si="498"/>
        <v>75.290493995391387</v>
      </c>
      <c r="AY558">
        <f t="shared" si="499"/>
        <v>1.557514047044871</v>
      </c>
      <c r="AZ558" t="str">
        <f t="shared" si="475"/>
        <v>1+5208,27381352238i</v>
      </c>
      <c r="BA558">
        <f t="shared" si="500"/>
        <v>5208.2739095234765</v>
      </c>
      <c r="BB558">
        <f t="shared" si="501"/>
        <v>1.5706043246030925</v>
      </c>
      <c r="BC558" s="41" t="str">
        <f t="shared" si="502"/>
        <v>-0,000628267146971368+0,0479922032300798i</v>
      </c>
      <c r="BD558">
        <f t="shared" si="503"/>
        <v>-26.375842031494592</v>
      </c>
      <c r="BE558" s="43">
        <f t="shared" si="504"/>
        <v>90.750017656740908</v>
      </c>
      <c r="BF558" s="41" t="str">
        <f t="shared" si="505"/>
        <v>-0,0149871131928424-0,0057761032636449i</v>
      </c>
      <c r="BG558" s="20">
        <f t="shared" si="506"/>
        <v>-35.884191284878725</v>
      </c>
      <c r="BH558" s="43">
        <f t="shared" si="507"/>
        <v>-158.92310484661061</v>
      </c>
      <c r="BI558" s="41" t="str">
        <f t="shared" si="460"/>
        <v>0,412961278820852+0,0249257944232148i</v>
      </c>
      <c r="BJ558" s="20">
        <f t="shared" si="508"/>
        <v>-7.6660200265128342</v>
      </c>
      <c r="BK558" s="43">
        <f t="shared" si="461"/>
        <v>3.4541066046829916</v>
      </c>
      <c r="BL558">
        <f t="shared" si="509"/>
        <v>-35.884191284878725</v>
      </c>
      <c r="BM558" s="43">
        <f t="shared" si="510"/>
        <v>-158.92310484661061</v>
      </c>
    </row>
    <row r="559" spans="14:65" x14ac:dyDescent="0.25">
      <c r="N559" s="9">
        <v>41</v>
      </c>
      <c r="O559" s="34">
        <f t="shared" si="462"/>
        <v>2570395.782768866</v>
      </c>
      <c r="P559" s="33" t="str">
        <f t="shared" si="463"/>
        <v>54,631621870174</v>
      </c>
      <c r="Q559" s="4" t="str">
        <f t="shared" si="464"/>
        <v>1+128737,868332062i</v>
      </c>
      <c r="R559" s="4">
        <f t="shared" si="476"/>
        <v>128737.86833594587</v>
      </c>
      <c r="S559" s="4">
        <f t="shared" si="477"/>
        <v>1.5707885590726798</v>
      </c>
      <c r="T559" s="4" t="str">
        <f t="shared" si="465"/>
        <v>1+323,005460318594i</v>
      </c>
      <c r="U559" s="4">
        <f t="shared" si="478"/>
        <v>323.00700827633261</v>
      </c>
      <c r="V559" s="4">
        <f t="shared" si="479"/>
        <v>1.5677004137904564</v>
      </c>
      <c r="W559" t="str">
        <f t="shared" si="466"/>
        <v>1-64,2674087369433i</v>
      </c>
      <c r="X559" s="4">
        <f t="shared" si="480"/>
        <v>64.275188259244601</v>
      </c>
      <c r="Y559" s="4">
        <f t="shared" si="481"/>
        <v>-1.5552375960636911</v>
      </c>
      <c r="Z559" t="str">
        <f t="shared" si="467"/>
        <v>-25,4277379203039+8,82982216291483i</v>
      </c>
      <c r="AA559" s="4">
        <f t="shared" si="482"/>
        <v>26.917199244578974</v>
      </c>
      <c r="AB559" s="4">
        <f t="shared" si="483"/>
        <v>2.8073684106384578</v>
      </c>
      <c r="AC559" s="47" t="str">
        <f t="shared" si="484"/>
        <v>-0,111218050839251+0,307838147106576i</v>
      </c>
      <c r="AD559" s="20">
        <f t="shared" si="485"/>
        <v>-9.700735730427569</v>
      </c>
      <c r="AE559" s="43">
        <f t="shared" si="486"/>
        <v>109.86415044635042</v>
      </c>
      <c r="AF559" t="str">
        <f t="shared" si="468"/>
        <v>171,265703090588</v>
      </c>
      <c r="AG559" t="str">
        <f t="shared" si="469"/>
        <v>1+127505,844687396i</v>
      </c>
      <c r="AH559">
        <f t="shared" si="487"/>
        <v>127505.84469131738</v>
      </c>
      <c r="AI559">
        <f t="shared" si="488"/>
        <v>1.5707884840171602</v>
      </c>
      <c r="AJ559" t="str">
        <f t="shared" si="470"/>
        <v>1+323,005460318594i</v>
      </c>
      <c r="AK559">
        <f t="shared" si="489"/>
        <v>323.00700827633261</v>
      </c>
      <c r="AL559">
        <f t="shared" si="490"/>
        <v>1.5677004137904564</v>
      </c>
      <c r="AM559" t="str">
        <f t="shared" si="471"/>
        <v>1-20,3042945546975i</v>
      </c>
      <c r="AN559">
        <f t="shared" si="491"/>
        <v>20.328904972081464</v>
      </c>
      <c r="AO559">
        <f t="shared" si="492"/>
        <v>-1.5215854256550065</v>
      </c>
      <c r="AP559" s="41" t="str">
        <f t="shared" si="493"/>
        <v>0,406656955064655-8,81057262883992i</v>
      </c>
      <c r="AQ559">
        <f t="shared" si="494"/>
        <v>18.909324803329223</v>
      </c>
      <c r="AR559" s="43">
        <f t="shared" si="495"/>
        <v>-87.357356449478885</v>
      </c>
      <c r="AS559" t="str">
        <f t="shared" si="472"/>
        <v>-0,0000166666666666667</v>
      </c>
      <c r="AT559" t="str">
        <f t="shared" si="473"/>
        <v>0,024580715530245i</v>
      </c>
      <c r="AU559">
        <f t="shared" si="496"/>
        <v>2.4580715530245E-2</v>
      </c>
      <c r="AV559">
        <f t="shared" si="497"/>
        <v>1.5707963267948966</v>
      </c>
      <c r="AW559" t="str">
        <f t="shared" si="474"/>
        <v>1+77,0374389590339i</v>
      </c>
      <c r="AX559">
        <f t="shared" si="498"/>
        <v>77.043929036406723</v>
      </c>
      <c r="AY559">
        <f t="shared" si="499"/>
        <v>1.5578163542908063</v>
      </c>
      <c r="AZ559" t="str">
        <f t="shared" si="475"/>
        <v>1+5329,5900952568i</v>
      </c>
      <c r="BA559">
        <f t="shared" si="500"/>
        <v>5329.5901890726436</v>
      </c>
      <c r="BB559">
        <f t="shared" si="501"/>
        <v>1.5706086951064568</v>
      </c>
      <c r="BC559" s="41" t="str">
        <f t="shared" si="502"/>
        <v>-0,000599995231177058+0,0469001343014096i</v>
      </c>
      <c r="BD559">
        <f t="shared" si="503"/>
        <v>-26.575807556910402</v>
      </c>
      <c r="BE559" s="43">
        <f t="shared" si="504"/>
        <v>90.732947138829715</v>
      </c>
      <c r="BF559" s="41" t="str">
        <f t="shared" si="505"/>
        <v>-0,0143709201422711-0,0054008429413402i</v>
      </c>
      <c r="BG559" s="20">
        <f t="shared" si="506"/>
        <v>-36.276543287337994</v>
      </c>
      <c r="BH559" s="43">
        <f t="shared" si="507"/>
        <v>-159.40290241481978</v>
      </c>
      <c r="BI559" s="41" t="str">
        <f t="shared" si="460"/>
        <v>0,412973047331152+0,0243585673683777i</v>
      </c>
      <c r="BJ559" s="20">
        <f t="shared" si="508"/>
        <v>-7.6664827535811773</v>
      </c>
      <c r="BK559" s="43">
        <f t="shared" si="461"/>
        <v>3.3755906893508318</v>
      </c>
      <c r="BL559">
        <f t="shared" si="509"/>
        <v>-36.276543287337994</v>
      </c>
      <c r="BM559" s="43">
        <f t="shared" si="510"/>
        <v>-159.40290241481978</v>
      </c>
    </row>
    <row r="560" spans="14:65" ht="15.75" thickBot="1" x14ac:dyDescent="0.3">
      <c r="N560" s="9">
        <v>42</v>
      </c>
      <c r="O560" s="34">
        <f t="shared" si="462"/>
        <v>2630267.9918953842</v>
      </c>
      <c r="P560" s="33" t="str">
        <f t="shared" si="463"/>
        <v>54,631621870174</v>
      </c>
      <c r="Q560" s="4" t="str">
        <f t="shared" si="464"/>
        <v>1+131736,558505361i</v>
      </c>
      <c r="R560" s="4">
        <f t="shared" si="476"/>
        <v>131736.55850915646</v>
      </c>
      <c r="S560" s="4">
        <f t="shared" si="477"/>
        <v>1.5707887358876245</v>
      </c>
      <c r="T560" s="4" t="str">
        <f t="shared" si="465"/>
        <v>1+330,529224012436i</v>
      </c>
      <c r="U560" s="4">
        <f t="shared" si="478"/>
        <v>330.53073673451775</v>
      </c>
      <c r="V560" s="4">
        <f t="shared" si="479"/>
        <v>1.5677708849390775</v>
      </c>
      <c r="W560" t="str">
        <f t="shared" si="466"/>
        <v>1-65,7643889925569i</v>
      </c>
      <c r="X560" s="4">
        <f t="shared" si="480"/>
        <v>65.771991452018085</v>
      </c>
      <c r="Y560" s="4">
        <f t="shared" si="481"/>
        <v>-1.5555917007972575</v>
      </c>
      <c r="Z560" t="str">
        <f t="shared" si="467"/>
        <v>-26,6732388367575+9,03549514239603i</v>
      </c>
      <c r="AA560" s="4">
        <f t="shared" si="482"/>
        <v>28.16206388940574</v>
      </c>
      <c r="AB560" s="4">
        <f t="shared" si="483"/>
        <v>2.814977216335758</v>
      </c>
      <c r="AC560" s="42" t="str">
        <f t="shared" si="484"/>
        <v>-0,106397592618514+0,301931549061628i</v>
      </c>
      <c r="AD560" s="46">
        <f t="shared" si="485"/>
        <v>-9.8934771209389734</v>
      </c>
      <c r="AE560" s="45">
        <f t="shared" si="486"/>
        <v>109.41193685466462</v>
      </c>
      <c r="AF560" t="str">
        <f t="shared" si="468"/>
        <v>171,265703090588</v>
      </c>
      <c r="AG560" t="str">
        <f t="shared" si="469"/>
        <v>1+130475,837343451i</v>
      </c>
      <c r="AH560">
        <f t="shared" si="487"/>
        <v>130475.83734728312</v>
      </c>
      <c r="AI560">
        <f t="shared" si="488"/>
        <v>1.5707886625405769</v>
      </c>
      <c r="AJ560" t="str">
        <f t="shared" si="470"/>
        <v>1+330,529224012436i</v>
      </c>
      <c r="AK560">
        <f t="shared" si="489"/>
        <v>330.53073673451775</v>
      </c>
      <c r="AL560">
        <f t="shared" si="490"/>
        <v>1.5677708849390775</v>
      </c>
      <c r="AM560" t="str">
        <f t="shared" si="471"/>
        <v>1-20,7772423310262i</v>
      </c>
      <c r="AN560">
        <f t="shared" si="491"/>
        <v>20.80129320215902</v>
      </c>
      <c r="AO560">
        <f t="shared" si="492"/>
        <v>-1.5227038560394888</v>
      </c>
      <c r="AP560" s="44" t="str">
        <f t="shared" si="493"/>
        <v>0,406656954591652-9,01573551390026i</v>
      </c>
      <c r="AQ560" s="39">
        <f t="shared" si="494"/>
        <v>19.108849926712136</v>
      </c>
      <c r="AR560" s="45">
        <f t="shared" si="495"/>
        <v>-87.417410319433813</v>
      </c>
      <c r="AS560" t="str">
        <f t="shared" si="472"/>
        <v>-0,0000166666666666667</v>
      </c>
      <c r="AT560" t="str">
        <f t="shared" si="473"/>
        <v>0,0251532739473464i</v>
      </c>
      <c r="AU560">
        <f t="shared" si="496"/>
        <v>2.51532739473464E-2</v>
      </c>
      <c r="AV560">
        <f t="shared" si="497"/>
        <v>1.5707963267948966</v>
      </c>
      <c r="AW560" t="str">
        <f t="shared" si="474"/>
        <v>1+78,8318714300356i</v>
      </c>
      <c r="AX560">
        <f t="shared" si="498"/>
        <v>78.838213787234309</v>
      </c>
      <c r="AY560">
        <f t="shared" si="499"/>
        <v>1.5581117824763298</v>
      </c>
      <c r="AZ560" t="str">
        <f t="shared" si="475"/>
        <v>1+5453,73219620519i</v>
      </c>
      <c r="BA560">
        <f t="shared" si="500"/>
        <v>5453.7322878855248</v>
      </c>
      <c r="BB560">
        <f t="shared" si="501"/>
        <v>1.5706129661250257</v>
      </c>
      <c r="BC560" s="44" t="str">
        <f t="shared" si="502"/>
        <v>-0,00057299534210743+0,0458328994068228i</v>
      </c>
      <c r="BD560" s="39">
        <f t="shared" si="503"/>
        <v>-26.775774633682488</v>
      </c>
      <c r="BE560" s="45">
        <f t="shared" si="504"/>
        <v>90.716265061988224</v>
      </c>
      <c r="BF560" s="44" t="str">
        <f t="shared" si="505"/>
        <v>-0,0137774329909059-0,00504951553086006i</v>
      </c>
      <c r="BG560" s="46">
        <f t="shared" si="506"/>
        <v>-36.669251754621477</v>
      </c>
      <c r="BH560" s="45">
        <f t="shared" si="507"/>
        <v>-159.8717980833471</v>
      </c>
      <c r="BI560" s="44" t="str">
        <f t="shared" si="460"/>
        <v>0,412984286346294+0,0238042417480215i</v>
      </c>
      <c r="BJ560" s="46">
        <f t="shared" si="508"/>
        <v>-7.6669247069703514</v>
      </c>
      <c r="BK560" s="45">
        <f t="shared" si="461"/>
        <v>3.2988547425544166</v>
      </c>
      <c r="BL560" s="39">
        <f t="shared" si="509"/>
        <v>-36.669251754621477</v>
      </c>
      <c r="BM560" s="45">
        <f t="shared" si="510"/>
        <v>-159.8717980833471</v>
      </c>
    </row>
    <row r="561" spans="14:30" x14ac:dyDescent="0.25">
      <c r="N561" s="9"/>
      <c r="P561" s="33"/>
      <c r="Q561" s="4"/>
      <c r="R561" s="4"/>
      <c r="S561" s="4"/>
      <c r="T561" s="4"/>
      <c r="U561" s="4"/>
      <c r="V561" s="4"/>
      <c r="X561" s="4"/>
      <c r="Y561" s="4"/>
      <c r="AA561" s="4"/>
      <c r="AB561" s="4"/>
      <c r="AC561" s="4"/>
      <c r="AD561" s="20"/>
    </row>
    <row r="562" spans="14:30" x14ac:dyDescent="0.25">
      <c r="N562" s="9"/>
      <c r="P562" s="33"/>
      <c r="Q562" s="4"/>
      <c r="R562" s="4"/>
      <c r="S562" s="4"/>
      <c r="T562" s="4"/>
      <c r="U562" s="4"/>
      <c r="V562" s="4"/>
      <c r="X562" s="4"/>
      <c r="Y562" s="4"/>
      <c r="AA562" s="4"/>
      <c r="AB562" s="4"/>
      <c r="AC562" s="4"/>
      <c r="AD562" s="20"/>
    </row>
    <row r="563" spans="14:30" x14ac:dyDescent="0.25">
      <c r="N563" s="9"/>
      <c r="P563" s="33"/>
      <c r="Q563" s="4"/>
      <c r="R563" s="4"/>
      <c r="S563" s="4"/>
      <c r="T563" s="4"/>
      <c r="U563" s="4"/>
      <c r="V563" s="4"/>
      <c r="X563" s="4"/>
      <c r="Y563" s="4"/>
      <c r="AA563" s="4"/>
      <c r="AB563" s="4"/>
      <c r="AC563" s="4"/>
      <c r="AD563" s="20"/>
    </row>
    <row r="564" spans="14:30" x14ac:dyDescent="0.25">
      <c r="N564" s="9"/>
      <c r="P564" s="33"/>
      <c r="Q564" s="4"/>
      <c r="R564" s="4"/>
      <c r="S564" s="4"/>
      <c r="T564" s="4"/>
      <c r="U564" s="4"/>
      <c r="V564" s="4"/>
      <c r="X564" s="4"/>
      <c r="Y564" s="4"/>
      <c r="AA564" s="4"/>
      <c r="AB564" s="4"/>
      <c r="AC564" s="4"/>
      <c r="AD564" s="20"/>
    </row>
    <row r="565" spans="14:30" x14ac:dyDescent="0.25">
      <c r="N565" s="9"/>
      <c r="P565" s="33"/>
      <c r="Q565" s="4"/>
      <c r="R565" s="4"/>
      <c r="S565" s="4"/>
      <c r="T565" s="4"/>
      <c r="U565" s="4"/>
      <c r="V565" s="4"/>
      <c r="X565" s="4"/>
      <c r="Y565" s="4"/>
      <c r="AA565" s="4"/>
      <c r="AB565" s="4"/>
      <c r="AC565" s="4"/>
      <c r="AD565" s="20"/>
    </row>
    <row r="566" spans="14:30" x14ac:dyDescent="0.25">
      <c r="N566" s="9"/>
      <c r="P566" s="33"/>
      <c r="Q566" s="4"/>
      <c r="R566" s="4"/>
      <c r="S566" s="4"/>
      <c r="T566" s="4"/>
      <c r="U566" s="4"/>
      <c r="V566" s="4"/>
      <c r="X566" s="4"/>
      <c r="Y566" s="4"/>
      <c r="AA566" s="4"/>
      <c r="AB566" s="4"/>
      <c r="AC566" s="4"/>
      <c r="AD566" s="20"/>
    </row>
    <row r="567" spans="14:30" x14ac:dyDescent="0.25">
      <c r="N567" s="9"/>
      <c r="P567" s="33"/>
      <c r="Q567" s="4"/>
      <c r="R567" s="4"/>
      <c r="S567" s="4"/>
      <c r="T567" s="4"/>
      <c r="U567" s="4"/>
      <c r="V567" s="4"/>
      <c r="X567" s="4"/>
      <c r="Y567" s="4"/>
      <c r="AA567" s="4"/>
      <c r="AB567" s="4"/>
      <c r="AC567" s="4"/>
      <c r="AD567" s="20"/>
    </row>
    <row r="568" spans="14:30" x14ac:dyDescent="0.25">
      <c r="N568" s="9"/>
      <c r="P568" s="33"/>
      <c r="Q568" s="4"/>
      <c r="R568" s="4"/>
      <c r="S568" s="4"/>
      <c r="T568" s="4"/>
      <c r="U568" s="4"/>
      <c r="V568" s="4"/>
      <c r="X568" s="4"/>
      <c r="Y568" s="4"/>
      <c r="AA568" s="4"/>
      <c r="AB568" s="4"/>
      <c r="AC568" s="4"/>
      <c r="AD568" s="20"/>
    </row>
    <row r="569" spans="14:30" x14ac:dyDescent="0.25">
      <c r="N569" s="9"/>
      <c r="P569" s="33"/>
      <c r="Q569" s="4"/>
      <c r="R569" s="4"/>
      <c r="S569" s="4"/>
      <c r="T569" s="4"/>
      <c r="U569" s="4"/>
      <c r="V569" s="4"/>
      <c r="X569" s="4"/>
      <c r="Y569" s="4"/>
      <c r="AA569" s="4"/>
      <c r="AB569" s="4"/>
      <c r="AC569" s="4"/>
      <c r="AD569" s="20"/>
    </row>
    <row r="570" spans="14:30" x14ac:dyDescent="0.25">
      <c r="N570" s="9"/>
      <c r="P570" s="33"/>
      <c r="Q570" s="4"/>
      <c r="R570" s="4"/>
      <c r="S570" s="4"/>
      <c r="T570" s="4"/>
      <c r="U570" s="4"/>
      <c r="V570" s="4"/>
      <c r="X570" s="4"/>
      <c r="Y570" s="4"/>
      <c r="AA570" s="4"/>
      <c r="AB570" s="4"/>
      <c r="AC570" s="4"/>
      <c r="AD570" s="20"/>
    </row>
    <row r="571" spans="14:30" x14ac:dyDescent="0.25">
      <c r="N571" s="9"/>
      <c r="P571" s="33"/>
      <c r="Q571" s="4"/>
      <c r="R571" s="4"/>
      <c r="S571" s="4"/>
      <c r="T571" s="4"/>
      <c r="U571" s="4"/>
      <c r="V571" s="4"/>
      <c r="X571" s="4"/>
      <c r="Y571" s="4"/>
      <c r="AA571" s="4"/>
      <c r="AB571" s="4"/>
      <c r="AC571" s="4"/>
      <c r="AD571" s="20"/>
    </row>
    <row r="572" spans="14:30" x14ac:dyDescent="0.25">
      <c r="N572" s="9"/>
      <c r="P572" s="33"/>
      <c r="Q572" s="4"/>
      <c r="R572" s="4"/>
      <c r="S572" s="4"/>
      <c r="T572" s="4"/>
      <c r="U572" s="4"/>
      <c r="V572" s="4"/>
      <c r="X572" s="4"/>
      <c r="Y572" s="4"/>
      <c r="AA572" s="4"/>
      <c r="AB572" s="4"/>
      <c r="AC572" s="4"/>
      <c r="AD572" s="20"/>
    </row>
    <row r="573" spans="14:30" x14ac:dyDescent="0.25">
      <c r="N573" s="9"/>
      <c r="P573" s="33"/>
      <c r="Q573" s="4"/>
      <c r="R573" s="4"/>
      <c r="S573" s="4"/>
      <c r="T573" s="4"/>
      <c r="U573" s="4"/>
      <c r="V573" s="4"/>
      <c r="X573" s="4"/>
      <c r="Y573" s="4"/>
      <c r="AA573" s="4"/>
      <c r="AB573" s="4"/>
      <c r="AC573" s="4"/>
      <c r="AD573" s="20"/>
    </row>
    <row r="574" spans="14:30" x14ac:dyDescent="0.25">
      <c r="N574" s="9"/>
      <c r="P574" s="33"/>
      <c r="Q574" s="4"/>
      <c r="R574" s="4"/>
      <c r="S574" s="4"/>
      <c r="T574" s="4"/>
      <c r="U574" s="4"/>
      <c r="V574" s="4"/>
      <c r="X574" s="4"/>
      <c r="Y574" s="4"/>
      <c r="AA574" s="4"/>
      <c r="AB574" s="4"/>
      <c r="AC574" s="4"/>
      <c r="AD574" s="20"/>
    </row>
    <row r="575" spans="14:30" x14ac:dyDescent="0.25">
      <c r="N575" s="9"/>
      <c r="P575" s="33"/>
      <c r="Q575" s="4"/>
      <c r="R575" s="4"/>
      <c r="S575" s="4"/>
      <c r="T575" s="4"/>
      <c r="U575" s="4"/>
      <c r="V575" s="4"/>
      <c r="X575" s="4"/>
      <c r="Y575" s="4"/>
      <c r="AA575" s="4"/>
      <c r="AB575" s="4"/>
      <c r="AC575" s="4"/>
      <c r="AD575" s="20"/>
    </row>
    <row r="576" spans="14:30" x14ac:dyDescent="0.25">
      <c r="N576" s="9"/>
      <c r="P576" s="33"/>
      <c r="Q576" s="4"/>
      <c r="R576" s="4"/>
      <c r="S576" s="4"/>
      <c r="T576" s="4"/>
      <c r="U576" s="4"/>
      <c r="V576" s="4"/>
      <c r="X576" s="4"/>
      <c r="Y576" s="4"/>
      <c r="AA576" s="4"/>
      <c r="AB576" s="4"/>
      <c r="AC576" s="4"/>
      <c r="AD576" s="20"/>
    </row>
    <row r="577" spans="14:30" x14ac:dyDescent="0.25">
      <c r="N577" s="9"/>
      <c r="P577" s="33"/>
      <c r="Q577" s="4"/>
      <c r="R577" s="4"/>
      <c r="S577" s="4"/>
      <c r="T577" s="4"/>
      <c r="U577" s="4"/>
      <c r="V577" s="4"/>
      <c r="X577" s="4"/>
      <c r="Y577" s="4"/>
      <c r="AA577" s="4"/>
      <c r="AB577" s="4"/>
      <c r="AC577" s="4"/>
      <c r="AD577" s="20"/>
    </row>
    <row r="578" spans="14:30" x14ac:dyDescent="0.25">
      <c r="N578" s="9"/>
      <c r="P578" s="33"/>
      <c r="Q578" s="4"/>
      <c r="R578" s="4"/>
      <c r="S578" s="4"/>
      <c r="T578" s="4"/>
      <c r="U578" s="4"/>
      <c r="V578" s="4"/>
      <c r="X578" s="4"/>
      <c r="Y578" s="4"/>
      <c r="AA578" s="4"/>
      <c r="AB578" s="4"/>
      <c r="AC578" s="4"/>
      <c r="AD578" s="20"/>
    </row>
    <row r="579" spans="14:30" x14ac:dyDescent="0.25">
      <c r="N579" s="9"/>
      <c r="P579" s="33"/>
      <c r="Q579" s="4"/>
      <c r="R579" s="4"/>
      <c r="S579" s="4"/>
      <c r="T579" s="4"/>
      <c r="U579" s="4"/>
      <c r="V579" s="4"/>
      <c r="X579" s="4"/>
      <c r="Y579" s="4"/>
      <c r="AA579" s="4"/>
      <c r="AB579" s="4"/>
      <c r="AC579" s="4"/>
      <c r="AD579" s="20"/>
    </row>
    <row r="580" spans="14:30" x14ac:dyDescent="0.25">
      <c r="N580" s="9"/>
      <c r="P580" s="33"/>
      <c r="Q580" s="4"/>
      <c r="R580" s="4"/>
      <c r="S580" s="4"/>
      <c r="T580" s="4"/>
      <c r="U580" s="4"/>
      <c r="V580" s="4"/>
      <c r="X580" s="4"/>
      <c r="Y580" s="4"/>
      <c r="AA580" s="4"/>
      <c r="AB580" s="4"/>
      <c r="AC580" s="4"/>
      <c r="AD580" s="20"/>
    </row>
    <row r="581" spans="14:30" x14ac:dyDescent="0.25">
      <c r="N581" s="9"/>
      <c r="P581" s="33"/>
      <c r="Q581" s="4"/>
      <c r="R581" s="4"/>
      <c r="S581" s="4"/>
      <c r="T581" s="4"/>
      <c r="U581" s="4"/>
      <c r="V581" s="4"/>
      <c r="X581" s="4"/>
      <c r="Y581" s="4"/>
      <c r="AA581" s="4"/>
      <c r="AB581" s="4"/>
      <c r="AC581" s="4"/>
      <c r="AD581" s="20"/>
    </row>
    <row r="582" spans="14:30" x14ac:dyDescent="0.25">
      <c r="N582" s="9"/>
      <c r="P582" s="33"/>
      <c r="Q582" s="4"/>
      <c r="R582" s="4"/>
      <c r="S582" s="4"/>
      <c r="T582" s="4"/>
      <c r="U582" s="4"/>
      <c r="V582" s="4"/>
      <c r="X582" s="4"/>
      <c r="Y582" s="4"/>
      <c r="AA582" s="4"/>
      <c r="AB582" s="4"/>
      <c r="AC582" s="4"/>
      <c r="AD582" s="20"/>
    </row>
    <row r="583" spans="14:30" x14ac:dyDescent="0.25">
      <c r="N583" s="9"/>
      <c r="P583" s="33"/>
      <c r="Q583" s="4"/>
      <c r="R583" s="4"/>
      <c r="S583" s="4"/>
      <c r="T583" s="4"/>
      <c r="U583" s="4"/>
      <c r="V583" s="4"/>
      <c r="X583" s="4"/>
      <c r="Y583" s="4"/>
      <c r="AA583" s="4"/>
      <c r="AB583" s="4"/>
      <c r="AC583" s="4"/>
      <c r="AD583" s="20"/>
    </row>
    <row r="584" spans="14:30" x14ac:dyDescent="0.25">
      <c r="N584" s="9"/>
      <c r="P584" s="33"/>
      <c r="Q584" s="4"/>
      <c r="R584" s="4"/>
      <c r="S584" s="4"/>
      <c r="T584" s="4"/>
      <c r="U584" s="4"/>
      <c r="V584" s="4"/>
      <c r="X584" s="4"/>
      <c r="Y584" s="4"/>
      <c r="AA584" s="4"/>
      <c r="AB584" s="4"/>
      <c r="AC584" s="4"/>
      <c r="AD584" s="20"/>
    </row>
    <row r="585" spans="14:30" x14ac:dyDescent="0.25">
      <c r="N585" s="9"/>
      <c r="P585" s="33"/>
      <c r="Q585" s="4"/>
      <c r="R585" s="4"/>
      <c r="S585" s="4"/>
      <c r="T585" s="4"/>
      <c r="U585" s="4"/>
      <c r="V585" s="4"/>
      <c r="X585" s="4"/>
      <c r="Y585" s="4"/>
      <c r="AA585" s="4"/>
      <c r="AB585" s="4"/>
      <c r="AC585" s="4"/>
      <c r="AD585" s="20"/>
    </row>
    <row r="586" spans="14:30" x14ac:dyDescent="0.25">
      <c r="N586" s="9"/>
      <c r="P586" s="33"/>
      <c r="Q586" s="4"/>
      <c r="R586" s="4"/>
      <c r="S586" s="4"/>
      <c r="T586" s="4"/>
      <c r="U586" s="4"/>
      <c r="V586" s="4"/>
      <c r="X586" s="4"/>
      <c r="Y586" s="4"/>
      <c r="AA586" s="4"/>
      <c r="AB586" s="4"/>
      <c r="AC586" s="4"/>
      <c r="AD586" s="20"/>
    </row>
    <row r="587" spans="14:30" x14ac:dyDescent="0.25">
      <c r="N587" s="9"/>
      <c r="P587" s="33"/>
      <c r="Q587" s="4"/>
      <c r="R587" s="4"/>
      <c r="S587" s="4"/>
      <c r="T587" s="4"/>
      <c r="U587" s="4"/>
      <c r="V587" s="4"/>
      <c r="X587" s="4"/>
      <c r="Y587" s="4"/>
      <c r="AA587" s="4"/>
      <c r="AB587" s="4"/>
      <c r="AC587" s="4"/>
      <c r="AD587" s="20"/>
    </row>
    <row r="588" spans="14:30" x14ac:dyDescent="0.25">
      <c r="N588" s="9"/>
      <c r="P588" s="33"/>
      <c r="Q588" s="4"/>
      <c r="R588" s="4"/>
      <c r="S588" s="4"/>
      <c r="T588" s="4"/>
      <c r="U588" s="4"/>
      <c r="V588" s="4"/>
      <c r="X588" s="4"/>
      <c r="Y588" s="4"/>
      <c r="AA588" s="4"/>
      <c r="AB588" s="4"/>
      <c r="AC588" s="4"/>
      <c r="AD588" s="20"/>
    </row>
    <row r="589" spans="14:30" x14ac:dyDescent="0.25">
      <c r="N589" s="9"/>
      <c r="P589" s="33"/>
      <c r="Q589" s="4"/>
      <c r="R589" s="4"/>
      <c r="S589" s="4"/>
      <c r="T589" s="4"/>
      <c r="U589" s="4"/>
      <c r="V589" s="4"/>
      <c r="X589" s="4"/>
      <c r="Y589" s="4"/>
      <c r="AA589" s="4"/>
      <c r="AB589" s="4"/>
      <c r="AC589" s="4"/>
      <c r="AD589" s="20"/>
    </row>
    <row r="590" spans="14:30" x14ac:dyDescent="0.25">
      <c r="N590" s="9"/>
      <c r="P590" s="33"/>
      <c r="Q590" s="4"/>
      <c r="R590" s="4"/>
      <c r="S590" s="4"/>
      <c r="T590" s="4"/>
      <c r="U590" s="4"/>
      <c r="V590" s="4"/>
      <c r="X590" s="4"/>
      <c r="Y590" s="4"/>
      <c r="AA590" s="4"/>
      <c r="AB590" s="4"/>
      <c r="AC590" s="4"/>
      <c r="AD590" s="20"/>
    </row>
    <row r="591" spans="14:30" x14ac:dyDescent="0.25">
      <c r="N591" s="9"/>
      <c r="P591" s="33"/>
      <c r="Q591" s="4"/>
      <c r="R591" s="4"/>
      <c r="S591" s="4"/>
      <c r="T591" s="4"/>
      <c r="U591" s="4"/>
      <c r="V591" s="4"/>
      <c r="X591" s="4"/>
      <c r="Y591" s="4"/>
      <c r="AA591" s="4"/>
      <c r="AB591" s="4"/>
      <c r="AC591" s="4"/>
      <c r="AD591" s="20"/>
    </row>
    <row r="592" spans="14:30" x14ac:dyDescent="0.25">
      <c r="N592" s="9"/>
      <c r="P592" s="33"/>
      <c r="Q592" s="4"/>
      <c r="R592" s="4"/>
      <c r="S592" s="4"/>
      <c r="T592" s="4"/>
      <c r="U592" s="4"/>
      <c r="V592" s="4"/>
      <c r="X592" s="4"/>
      <c r="Y592" s="4"/>
      <c r="AA592" s="4"/>
      <c r="AB592" s="4"/>
      <c r="AC592" s="4"/>
      <c r="AD592" s="20"/>
    </row>
    <row r="593" spans="14:30" x14ac:dyDescent="0.25">
      <c r="N593" s="9"/>
      <c r="P593" s="33"/>
      <c r="Q593" s="4"/>
      <c r="R593" s="4"/>
      <c r="S593" s="4"/>
      <c r="T593" s="4"/>
      <c r="U593" s="4"/>
      <c r="V593" s="4"/>
      <c r="X593" s="4"/>
      <c r="Y593" s="4"/>
      <c r="AA593" s="4"/>
      <c r="AB593" s="4"/>
      <c r="AC593" s="4"/>
      <c r="AD593" s="20"/>
    </row>
    <row r="594" spans="14:30" x14ac:dyDescent="0.25">
      <c r="N594" s="9"/>
      <c r="P594" s="33"/>
      <c r="Q594" s="4"/>
      <c r="R594" s="4"/>
      <c r="S594" s="4"/>
      <c r="T594" s="4"/>
      <c r="U594" s="4"/>
      <c r="V594" s="4"/>
      <c r="X594" s="4"/>
      <c r="Y594" s="4"/>
      <c r="AA594" s="4"/>
      <c r="AB594" s="4"/>
      <c r="AC594" s="4"/>
      <c r="AD594" s="20"/>
    </row>
    <row r="595" spans="14:30" x14ac:dyDescent="0.25">
      <c r="N595" s="9"/>
      <c r="P595" s="33"/>
      <c r="Q595" s="4"/>
      <c r="R595" s="4"/>
      <c r="S595" s="4"/>
      <c r="T595" s="4"/>
      <c r="U595" s="4"/>
      <c r="V595" s="4"/>
      <c r="X595" s="4"/>
      <c r="Y595" s="4"/>
      <c r="AA595" s="4"/>
      <c r="AB595" s="4"/>
      <c r="AC595" s="4"/>
      <c r="AD595" s="20"/>
    </row>
    <row r="596" spans="14:30" x14ac:dyDescent="0.25">
      <c r="N596" s="9"/>
      <c r="P596" s="33"/>
      <c r="Q596" s="4"/>
      <c r="R596" s="4"/>
      <c r="S596" s="4"/>
      <c r="T596" s="4"/>
      <c r="U596" s="4"/>
      <c r="V596" s="4"/>
      <c r="X596" s="4"/>
      <c r="Y596" s="4"/>
      <c r="AA596" s="4"/>
      <c r="AB596" s="4"/>
      <c r="AC596" s="4"/>
      <c r="AD596" s="20"/>
    </row>
    <row r="597" spans="14:30" x14ac:dyDescent="0.25">
      <c r="N597" s="9"/>
      <c r="P597" s="33"/>
      <c r="Q597" s="4"/>
      <c r="R597" s="4"/>
      <c r="S597" s="4"/>
      <c r="T597" s="4"/>
      <c r="U597" s="4"/>
      <c r="V597" s="4"/>
      <c r="X597" s="4"/>
      <c r="Y597" s="4"/>
      <c r="AA597" s="4"/>
      <c r="AB597" s="4"/>
      <c r="AC597" s="4"/>
      <c r="AD597" s="20"/>
    </row>
    <row r="598" spans="14:30" x14ac:dyDescent="0.25">
      <c r="N598" s="9"/>
      <c r="P598" s="33"/>
      <c r="Q598" s="4"/>
      <c r="R598" s="4"/>
      <c r="S598" s="4"/>
      <c r="T598" s="4"/>
      <c r="U598" s="4"/>
      <c r="V598" s="4"/>
      <c r="X598" s="4"/>
      <c r="Y598" s="4"/>
      <c r="AA598" s="4"/>
      <c r="AB598" s="4"/>
      <c r="AC598" s="4"/>
      <c r="AD598" s="20"/>
    </row>
    <row r="599" spans="14:30" x14ac:dyDescent="0.25">
      <c r="N599" s="9"/>
      <c r="P599" s="33"/>
      <c r="Q599" s="4"/>
      <c r="R599" s="4"/>
      <c r="S599" s="4"/>
      <c r="T599" s="4"/>
      <c r="U599" s="4"/>
      <c r="V599" s="4"/>
      <c r="X599" s="4"/>
      <c r="Y599" s="4"/>
      <c r="AA599" s="4"/>
      <c r="AB599" s="4"/>
      <c r="AC599" s="4"/>
      <c r="AD599" s="20"/>
    </row>
    <row r="600" spans="14:30" x14ac:dyDescent="0.25">
      <c r="N600" s="9"/>
      <c r="P600" s="33"/>
      <c r="Q600" s="4"/>
      <c r="R600" s="4"/>
      <c r="S600" s="4"/>
      <c r="T600" s="4"/>
      <c r="U600" s="4"/>
      <c r="V600" s="4"/>
      <c r="X600" s="4"/>
      <c r="Y600" s="4"/>
      <c r="AA600" s="4"/>
      <c r="AB600" s="4"/>
      <c r="AC600" s="4"/>
      <c r="AD600" s="20"/>
    </row>
    <row r="601" spans="14:30" x14ac:dyDescent="0.25">
      <c r="N601" s="9"/>
      <c r="P601" s="33"/>
      <c r="Q601" s="4"/>
      <c r="R601" s="4"/>
      <c r="S601" s="4"/>
      <c r="T601" s="4"/>
      <c r="U601" s="4"/>
      <c r="V601" s="4"/>
      <c r="X601" s="4"/>
      <c r="Y601" s="4"/>
      <c r="AA601" s="4"/>
      <c r="AB601" s="4"/>
      <c r="AC601" s="4"/>
      <c r="AD601" s="20"/>
    </row>
    <row r="602" spans="14:30" x14ac:dyDescent="0.25">
      <c r="N602" s="9"/>
      <c r="P602" s="33"/>
      <c r="Q602" s="4"/>
      <c r="R602" s="4"/>
      <c r="S602" s="4"/>
      <c r="T602" s="4"/>
      <c r="U602" s="4"/>
      <c r="V602" s="4"/>
      <c r="X602" s="4"/>
      <c r="Y602" s="4"/>
      <c r="AA602" s="4"/>
      <c r="AB602" s="4"/>
      <c r="AC602" s="4"/>
      <c r="AD602" s="20"/>
    </row>
    <row r="603" spans="14:30" x14ac:dyDescent="0.25">
      <c r="N603" s="9"/>
      <c r="P603" s="33"/>
      <c r="Q603" s="4"/>
      <c r="R603" s="4"/>
      <c r="S603" s="4"/>
      <c r="T603" s="4"/>
      <c r="U603" s="4"/>
      <c r="V603" s="4"/>
      <c r="X603" s="4"/>
      <c r="Y603" s="4"/>
      <c r="AA603" s="4"/>
      <c r="AB603" s="4"/>
      <c r="AC603" s="4"/>
      <c r="AD603" s="20"/>
    </row>
    <row r="604" spans="14:30" x14ac:dyDescent="0.25">
      <c r="N604" s="9"/>
      <c r="P604" s="33"/>
      <c r="Q604" s="4"/>
      <c r="R604" s="4"/>
      <c r="S604" s="4"/>
      <c r="T604" s="4"/>
      <c r="U604" s="4"/>
      <c r="V604" s="4"/>
      <c r="X604" s="4"/>
      <c r="Y604" s="4"/>
      <c r="AA604" s="4"/>
      <c r="AB604" s="4"/>
      <c r="AC604" s="4"/>
      <c r="AD604" s="20"/>
    </row>
    <row r="605" spans="14:30" x14ac:dyDescent="0.25">
      <c r="N605" s="9"/>
      <c r="P605" s="33"/>
      <c r="Q605" s="4"/>
      <c r="R605" s="4"/>
      <c r="S605" s="4"/>
      <c r="T605" s="4"/>
      <c r="U605" s="4"/>
      <c r="V605" s="4"/>
      <c r="X605" s="4"/>
      <c r="Y605" s="4"/>
      <c r="AA605" s="4"/>
      <c r="AB605" s="4"/>
      <c r="AC605" s="4"/>
      <c r="AD605" s="20"/>
    </row>
    <row r="606" spans="14:30" x14ac:dyDescent="0.25">
      <c r="N606" s="9"/>
      <c r="P606" s="33"/>
      <c r="Q606" s="4"/>
      <c r="R606" s="4"/>
      <c r="S606" s="4"/>
      <c r="T606" s="4"/>
      <c r="U606" s="4"/>
      <c r="V606" s="4"/>
      <c r="X606" s="4"/>
      <c r="Y606" s="4"/>
      <c r="AA606" s="4"/>
      <c r="AB606" s="4"/>
      <c r="AC606" s="4"/>
      <c r="AD606" s="20"/>
    </row>
    <row r="607" spans="14:30" x14ac:dyDescent="0.25">
      <c r="N607" s="9"/>
      <c r="P607" s="33"/>
      <c r="Q607" s="4"/>
      <c r="R607" s="4"/>
      <c r="S607" s="4"/>
      <c r="T607" s="4"/>
      <c r="U607" s="4"/>
      <c r="V607" s="4"/>
      <c r="X607" s="4"/>
      <c r="Y607" s="4"/>
      <c r="AA607" s="4"/>
      <c r="AB607" s="4"/>
      <c r="AC607" s="4"/>
      <c r="AD607" s="20"/>
    </row>
    <row r="608" spans="14:30" x14ac:dyDescent="0.25">
      <c r="N608" s="9"/>
      <c r="P608" s="33"/>
      <c r="Q608" s="4"/>
      <c r="R608" s="4"/>
      <c r="S608" s="4"/>
      <c r="T608" s="4"/>
      <c r="U608" s="4"/>
      <c r="V608" s="4"/>
      <c r="X608" s="4"/>
      <c r="Y608" s="4"/>
      <c r="AA608" s="4"/>
      <c r="AB608" s="4"/>
      <c r="AC608" s="4"/>
      <c r="AD608" s="20"/>
    </row>
    <row r="609" spans="14:30" x14ac:dyDescent="0.25">
      <c r="N609" s="9"/>
      <c r="P609" s="33"/>
      <c r="Q609" s="4"/>
      <c r="R609" s="4"/>
      <c r="S609" s="4"/>
      <c r="T609" s="4"/>
      <c r="U609" s="4"/>
      <c r="V609" s="4"/>
      <c r="X609" s="4"/>
      <c r="Y609" s="4"/>
      <c r="AA609" s="4"/>
      <c r="AB609" s="4"/>
      <c r="AC609" s="4"/>
      <c r="AD609" s="20"/>
    </row>
    <row r="610" spans="14:30" x14ac:dyDescent="0.25">
      <c r="N610" s="9"/>
      <c r="P610" s="33"/>
      <c r="Q610" s="4"/>
      <c r="R610" s="4"/>
      <c r="S610" s="4"/>
      <c r="T610" s="4"/>
      <c r="U610" s="4"/>
      <c r="V610" s="4"/>
      <c r="X610" s="4"/>
      <c r="Y610" s="4"/>
      <c r="AA610" s="4"/>
      <c r="AB610" s="4"/>
      <c r="AC610" s="4"/>
      <c r="AD610" s="20"/>
    </row>
    <row r="611" spans="14:30" x14ac:dyDescent="0.25">
      <c r="N611" s="9"/>
      <c r="P611" s="33"/>
      <c r="Q611" s="4"/>
      <c r="R611" s="4"/>
      <c r="S611" s="4"/>
      <c r="T611" s="4"/>
      <c r="U611" s="4"/>
      <c r="V611" s="4"/>
      <c r="X611" s="4"/>
      <c r="Y611" s="4"/>
      <c r="AA611" s="4"/>
      <c r="AB611" s="4"/>
      <c r="AC611" s="4"/>
      <c r="AD611" s="20"/>
    </row>
    <row r="612" spans="14:30" x14ac:dyDescent="0.25">
      <c r="N612" s="9"/>
      <c r="P612" s="33"/>
      <c r="Q612" s="4"/>
      <c r="R612" s="4"/>
      <c r="S612" s="4"/>
      <c r="T612" s="4"/>
      <c r="U612" s="4"/>
      <c r="V612" s="4"/>
      <c r="X612" s="4"/>
      <c r="Y612" s="4"/>
      <c r="AA612" s="4"/>
      <c r="AB612" s="4"/>
      <c r="AC612" s="4"/>
      <c r="AD612" s="20"/>
    </row>
    <row r="613" spans="14:30" x14ac:dyDescent="0.25">
      <c r="N613" s="9"/>
      <c r="P613" s="33"/>
      <c r="Q613" s="4"/>
      <c r="R613" s="4"/>
      <c r="S613" s="4"/>
      <c r="T613" s="4"/>
      <c r="U613" s="4"/>
      <c r="V613" s="4"/>
      <c r="X613" s="4"/>
      <c r="Y613" s="4"/>
      <c r="AA613" s="4"/>
      <c r="AB613" s="4"/>
      <c r="AC613" s="4"/>
      <c r="AD613" s="20"/>
    </row>
    <row r="614" spans="14:30" x14ac:dyDescent="0.25">
      <c r="N614" s="9"/>
      <c r="P614" s="33"/>
      <c r="Q614" s="4"/>
      <c r="R614" s="4"/>
      <c r="S614" s="4"/>
      <c r="T614" s="4"/>
      <c r="U614" s="4"/>
      <c r="V614" s="4"/>
      <c r="X614" s="4"/>
      <c r="Y614" s="4"/>
      <c r="AA614" s="4"/>
      <c r="AB614" s="4"/>
      <c r="AC614" s="4"/>
      <c r="AD614" s="20"/>
    </row>
    <row r="615" spans="14:30" x14ac:dyDescent="0.25">
      <c r="N615" s="9"/>
      <c r="P615" s="33"/>
      <c r="Q615" s="4"/>
      <c r="R615" s="4"/>
      <c r="S615" s="4"/>
      <c r="T615" s="4"/>
      <c r="U615" s="4"/>
      <c r="V615" s="4"/>
      <c r="X615" s="4"/>
      <c r="Y615" s="4"/>
      <c r="AA615" s="4"/>
      <c r="AB615" s="4"/>
      <c r="AC615" s="4"/>
      <c r="AD615" s="20"/>
    </row>
    <row r="616" spans="14:30" x14ac:dyDescent="0.25">
      <c r="N616" s="9"/>
      <c r="P616" s="33"/>
      <c r="Q616" s="4"/>
      <c r="R616" s="4"/>
      <c r="S616" s="4"/>
      <c r="T616" s="4"/>
      <c r="U616" s="4"/>
      <c r="V616" s="4"/>
      <c r="X616" s="4"/>
      <c r="Y616" s="4"/>
      <c r="AA616" s="4"/>
      <c r="AB616" s="4"/>
      <c r="AC616" s="4"/>
      <c r="AD616" s="20"/>
    </row>
    <row r="617" spans="14:30" x14ac:dyDescent="0.25">
      <c r="N617" s="9"/>
      <c r="P617" s="33"/>
      <c r="Q617" s="4"/>
      <c r="R617" s="4"/>
      <c r="S617" s="4"/>
      <c r="T617" s="4"/>
      <c r="U617" s="4"/>
      <c r="V617" s="4"/>
      <c r="X617" s="4"/>
      <c r="Y617" s="4"/>
      <c r="AA617" s="4"/>
      <c r="AB617" s="4"/>
      <c r="AC617" s="4"/>
      <c r="AD617" s="20"/>
    </row>
    <row r="618" spans="14:30" x14ac:dyDescent="0.25">
      <c r="N618" s="9"/>
      <c r="P618" s="33"/>
      <c r="Q618" s="4"/>
      <c r="R618" s="4"/>
      <c r="S618" s="4"/>
      <c r="T618" s="4"/>
      <c r="U618" s="4"/>
      <c r="V618" s="4"/>
      <c r="X618" s="4"/>
      <c r="Y618" s="4"/>
      <c r="AA618" s="4"/>
      <c r="AB618" s="4"/>
      <c r="AC618" s="4"/>
      <c r="AD618" s="20"/>
    </row>
    <row r="619" spans="14:30" x14ac:dyDescent="0.25">
      <c r="N619" s="9"/>
      <c r="P619" s="33"/>
      <c r="Q619" s="4"/>
      <c r="R619" s="4"/>
      <c r="S619" s="4"/>
      <c r="T619" s="4"/>
      <c r="U619" s="4"/>
      <c r="V619" s="4"/>
      <c r="X619" s="4"/>
      <c r="Y619" s="4"/>
      <c r="AA619" s="4"/>
      <c r="AB619" s="4"/>
      <c r="AC619" s="4"/>
      <c r="AD619" s="20"/>
    </row>
    <row r="620" spans="14:30" x14ac:dyDescent="0.25">
      <c r="N620" s="9"/>
      <c r="P620" s="33"/>
      <c r="Q620" s="4"/>
      <c r="R620" s="4"/>
      <c r="S620" s="4"/>
      <c r="T620" s="4"/>
      <c r="U620" s="4"/>
      <c r="V620" s="4"/>
      <c r="X620" s="4"/>
      <c r="Y620" s="4"/>
      <c r="AA620" s="4"/>
      <c r="AB620" s="4"/>
      <c r="AC620" s="4"/>
      <c r="AD620" s="20"/>
    </row>
    <row r="621" spans="14:30" x14ac:dyDescent="0.25">
      <c r="N621" s="9"/>
      <c r="P621" s="33"/>
      <c r="Q621" s="4"/>
      <c r="R621" s="4"/>
      <c r="S621" s="4"/>
      <c r="T621" s="4"/>
      <c r="U621" s="4"/>
      <c r="V621" s="4"/>
      <c r="X621" s="4"/>
      <c r="Y621" s="4"/>
      <c r="AA621" s="4"/>
      <c r="AB621" s="4"/>
      <c r="AC621" s="4"/>
      <c r="AD621" s="20"/>
    </row>
    <row r="622" spans="14:30" x14ac:dyDescent="0.25">
      <c r="N622" s="9"/>
      <c r="P622" s="33"/>
      <c r="Q622" s="4"/>
      <c r="R622" s="4"/>
      <c r="S622" s="4"/>
      <c r="T622" s="4"/>
      <c r="U622" s="4"/>
      <c r="V622" s="4"/>
      <c r="X622" s="4"/>
      <c r="Y622" s="4"/>
      <c r="AA622" s="4"/>
      <c r="AB622" s="4"/>
      <c r="AC622" s="4"/>
      <c r="AD622" s="20"/>
    </row>
    <row r="623" spans="14:30" x14ac:dyDescent="0.25">
      <c r="N623" s="9"/>
      <c r="P623" s="33"/>
      <c r="Q623" s="4"/>
      <c r="R623" s="4"/>
      <c r="S623" s="4"/>
      <c r="T623" s="4"/>
      <c r="U623" s="4"/>
      <c r="V623" s="4"/>
      <c r="X623" s="4"/>
      <c r="Y623" s="4"/>
      <c r="AA623" s="4"/>
      <c r="AB623" s="4"/>
      <c r="AC623" s="4"/>
      <c r="AD623" s="20"/>
    </row>
    <row r="624" spans="14:30" x14ac:dyDescent="0.25">
      <c r="N624" s="9"/>
      <c r="P624" s="33"/>
      <c r="Q624" s="4"/>
      <c r="R624" s="4"/>
      <c r="S624" s="4"/>
      <c r="T624" s="4"/>
      <c r="U624" s="4"/>
      <c r="V624" s="4"/>
      <c r="X624" s="4"/>
      <c r="Y624" s="4"/>
      <c r="AA624" s="4"/>
      <c r="AB624" s="4"/>
      <c r="AC624" s="4"/>
      <c r="AD624" s="20"/>
    </row>
    <row r="625" spans="14:30" x14ac:dyDescent="0.25">
      <c r="N625" s="9"/>
      <c r="P625" s="33"/>
      <c r="Q625" s="4"/>
      <c r="R625" s="4"/>
      <c r="S625" s="4"/>
      <c r="T625" s="4"/>
      <c r="U625" s="4"/>
      <c r="V625" s="4"/>
      <c r="X625" s="4"/>
      <c r="Y625" s="4"/>
      <c r="AA625" s="4"/>
      <c r="AB625" s="4"/>
      <c r="AC625" s="4"/>
      <c r="AD625" s="20"/>
    </row>
    <row r="626" spans="14:30" x14ac:dyDescent="0.25">
      <c r="N626" s="9"/>
      <c r="P626" s="33"/>
      <c r="Q626" s="4"/>
      <c r="R626" s="4"/>
      <c r="S626" s="4"/>
      <c r="T626" s="4"/>
      <c r="U626" s="4"/>
      <c r="V626" s="4"/>
      <c r="X626" s="4"/>
      <c r="Y626" s="4"/>
      <c r="AA626" s="4"/>
      <c r="AB626" s="4"/>
      <c r="AC626" s="4"/>
      <c r="AD626" s="20"/>
    </row>
    <row r="627" spans="14:30" x14ac:dyDescent="0.25">
      <c r="N627" s="9"/>
      <c r="P627" s="33"/>
      <c r="Q627" s="4"/>
      <c r="R627" s="4"/>
      <c r="S627" s="4"/>
      <c r="T627" s="4"/>
      <c r="U627" s="4"/>
      <c r="V627" s="4"/>
      <c r="X627" s="4"/>
      <c r="Y627" s="4"/>
      <c r="AA627" s="4"/>
      <c r="AB627" s="4"/>
      <c r="AC627" s="4"/>
      <c r="AD627" s="20"/>
    </row>
    <row r="628" spans="14:30" x14ac:dyDescent="0.25">
      <c r="N628" s="9"/>
      <c r="P628" s="33"/>
      <c r="Q628" s="4"/>
      <c r="R628" s="4"/>
      <c r="S628" s="4"/>
      <c r="T628" s="4"/>
      <c r="U628" s="4"/>
      <c r="V628" s="4"/>
      <c r="X628" s="4"/>
      <c r="Y628" s="4"/>
      <c r="AA628" s="4"/>
      <c r="AB628" s="4"/>
      <c r="AC628" s="4"/>
      <c r="AD628" s="20"/>
    </row>
    <row r="629" spans="14:30" x14ac:dyDescent="0.25">
      <c r="N629" s="9"/>
      <c r="P629" s="33"/>
      <c r="Q629" s="4"/>
      <c r="R629" s="4"/>
      <c r="S629" s="4"/>
      <c r="T629" s="4"/>
      <c r="U629" s="4"/>
      <c r="V629" s="4"/>
      <c r="X629" s="4"/>
      <c r="Y629" s="4"/>
      <c r="AA629" s="4"/>
      <c r="AB629" s="4"/>
      <c r="AC629" s="4"/>
      <c r="AD629" s="20"/>
    </row>
    <row r="630" spans="14:30" x14ac:dyDescent="0.25">
      <c r="N630" s="9"/>
      <c r="P630" s="33"/>
      <c r="Q630" s="4"/>
      <c r="R630" s="4"/>
      <c r="S630" s="4"/>
      <c r="T630" s="4"/>
      <c r="U630" s="4"/>
      <c r="V630" s="4"/>
      <c r="X630" s="4"/>
      <c r="Y630" s="4"/>
      <c r="AA630" s="4"/>
      <c r="AB630" s="4"/>
      <c r="AC630" s="4"/>
      <c r="AD630" s="20"/>
    </row>
    <row r="631" spans="14:30" x14ac:dyDescent="0.25">
      <c r="N631" s="9"/>
      <c r="P631" s="33"/>
      <c r="Q631" s="4"/>
      <c r="R631" s="4"/>
      <c r="S631" s="4"/>
      <c r="T631" s="4"/>
      <c r="U631" s="4"/>
      <c r="V631" s="4"/>
      <c r="X631" s="4"/>
      <c r="Y631" s="4"/>
      <c r="AA631" s="4"/>
      <c r="AB631" s="4"/>
      <c r="AC631" s="4"/>
      <c r="AD631" s="20"/>
    </row>
    <row r="632" spans="14:30" x14ac:dyDescent="0.25">
      <c r="N632" s="9"/>
      <c r="P632" s="33"/>
      <c r="Q632" s="4"/>
      <c r="R632" s="4"/>
      <c r="S632" s="4"/>
      <c r="T632" s="4"/>
      <c r="U632" s="4"/>
      <c r="V632" s="4"/>
      <c r="X632" s="4"/>
      <c r="Y632" s="4"/>
      <c r="AA632" s="4"/>
      <c r="AB632" s="4"/>
      <c r="AC632" s="4"/>
      <c r="AD632" s="20"/>
    </row>
    <row r="633" spans="14:30" x14ac:dyDescent="0.25">
      <c r="N633" s="9"/>
      <c r="P633" s="33"/>
      <c r="Q633" s="4"/>
      <c r="R633" s="4"/>
      <c r="S633" s="4"/>
      <c r="T633" s="4"/>
      <c r="U633" s="4"/>
      <c r="V633" s="4"/>
      <c r="X633" s="4"/>
      <c r="Y633" s="4"/>
      <c r="AA633" s="4"/>
      <c r="AB633" s="4"/>
      <c r="AC633" s="4"/>
      <c r="AD633" s="20"/>
    </row>
    <row r="634" spans="14:30" x14ac:dyDescent="0.25">
      <c r="N634" s="9"/>
      <c r="P634" s="33"/>
      <c r="Q634" s="4"/>
      <c r="R634" s="4"/>
      <c r="S634" s="4"/>
      <c r="T634" s="4"/>
      <c r="U634" s="4"/>
      <c r="V634" s="4"/>
      <c r="X634" s="4"/>
      <c r="Y634" s="4"/>
      <c r="AA634" s="4"/>
      <c r="AB634" s="4"/>
      <c r="AC634" s="4"/>
      <c r="AD634" s="20"/>
    </row>
    <row r="635" spans="14:30" x14ac:dyDescent="0.25">
      <c r="N635" s="9"/>
      <c r="P635" s="33"/>
      <c r="Q635" s="4"/>
      <c r="R635" s="4"/>
      <c r="S635" s="4"/>
      <c r="T635" s="4"/>
      <c r="U635" s="4"/>
      <c r="V635" s="4"/>
      <c r="X635" s="4"/>
      <c r="Y635" s="4"/>
      <c r="AA635" s="4"/>
      <c r="AB635" s="4"/>
      <c r="AC635" s="4"/>
      <c r="AD635" s="20"/>
    </row>
    <row r="636" spans="14:30" x14ac:dyDescent="0.25">
      <c r="N636" s="9"/>
      <c r="P636" s="33"/>
      <c r="Q636" s="4"/>
      <c r="R636" s="4"/>
      <c r="S636" s="4"/>
      <c r="T636" s="4"/>
      <c r="U636" s="4"/>
      <c r="V636" s="4"/>
      <c r="X636" s="4"/>
      <c r="Y636" s="4"/>
      <c r="AA636" s="4"/>
      <c r="AB636" s="4"/>
      <c r="AC636" s="4"/>
      <c r="AD636" s="20"/>
    </row>
    <row r="637" spans="14:30" x14ac:dyDescent="0.25">
      <c r="N637" s="9"/>
      <c r="P637" s="33"/>
      <c r="Q637" s="4"/>
      <c r="R637" s="4"/>
      <c r="S637" s="4"/>
      <c r="T637" s="4"/>
      <c r="U637" s="4"/>
      <c r="V637" s="4"/>
      <c r="X637" s="4"/>
      <c r="Y637" s="4"/>
      <c r="AA637" s="4"/>
      <c r="AB637" s="4"/>
      <c r="AC637" s="4"/>
      <c r="AD637" s="20"/>
    </row>
    <row r="638" spans="14:30" x14ac:dyDescent="0.25">
      <c r="N638" s="9"/>
      <c r="P638" s="33"/>
      <c r="Q638" s="4"/>
      <c r="R638" s="4"/>
      <c r="S638" s="4"/>
      <c r="T638" s="4"/>
      <c r="U638" s="4"/>
      <c r="V638" s="4"/>
      <c r="X638" s="4"/>
      <c r="Y638" s="4"/>
      <c r="AA638" s="4"/>
      <c r="AB638" s="4"/>
      <c r="AC638" s="4"/>
      <c r="AD638" s="20"/>
    </row>
    <row r="639" spans="14:30" x14ac:dyDescent="0.25">
      <c r="N639" s="9"/>
      <c r="P639" s="33"/>
      <c r="Q639" s="4"/>
      <c r="R639" s="4"/>
      <c r="S639" s="4"/>
      <c r="T639" s="4"/>
      <c r="U639" s="4"/>
      <c r="V639" s="4"/>
      <c r="X639" s="4"/>
      <c r="Y639" s="4"/>
      <c r="AA639" s="4"/>
      <c r="AB639" s="4"/>
      <c r="AC639" s="4"/>
      <c r="AD639" s="20"/>
    </row>
    <row r="640" spans="14:30" x14ac:dyDescent="0.25">
      <c r="N640" s="9"/>
      <c r="P640" s="33"/>
      <c r="Q640" s="4"/>
      <c r="R640" s="4"/>
      <c r="S640" s="4"/>
      <c r="T640" s="4"/>
      <c r="U640" s="4"/>
      <c r="V640" s="4"/>
      <c r="X640" s="4"/>
      <c r="Y640" s="4"/>
      <c r="AA640" s="4"/>
      <c r="AB640" s="4"/>
      <c r="AC640" s="4"/>
      <c r="AD640" s="20"/>
    </row>
    <row r="641" spans="14:30" x14ac:dyDescent="0.25">
      <c r="N641" s="9"/>
      <c r="P641" s="33"/>
      <c r="Q641" s="4"/>
      <c r="R641" s="4"/>
      <c r="S641" s="4"/>
      <c r="T641" s="4"/>
      <c r="U641" s="4"/>
      <c r="V641" s="4"/>
      <c r="X641" s="4"/>
      <c r="Y641" s="4"/>
      <c r="AA641" s="4"/>
      <c r="AB641" s="4"/>
      <c r="AC641" s="4"/>
      <c r="AD641" s="20"/>
    </row>
    <row r="642" spans="14:30" x14ac:dyDescent="0.25">
      <c r="N642" s="9"/>
      <c r="P642" s="33"/>
      <c r="Q642" s="4"/>
      <c r="R642" s="4"/>
      <c r="S642" s="4"/>
      <c r="T642" s="4"/>
      <c r="U642" s="4"/>
      <c r="V642" s="4"/>
      <c r="X642" s="4"/>
      <c r="Y642" s="4"/>
      <c r="AA642" s="4"/>
      <c r="AB642" s="4"/>
      <c r="AC642" s="4"/>
      <c r="AD642" s="20"/>
    </row>
    <row r="643" spans="14:30" x14ac:dyDescent="0.25">
      <c r="N643" s="9"/>
      <c r="P643" s="33"/>
      <c r="Q643" s="4"/>
      <c r="R643" s="4"/>
      <c r="S643" s="4"/>
      <c r="T643" s="4"/>
      <c r="U643" s="4"/>
      <c r="V643" s="4"/>
      <c r="X643" s="4"/>
      <c r="Y643" s="4"/>
      <c r="AA643" s="4"/>
      <c r="AB643" s="4"/>
      <c r="AC643" s="4"/>
      <c r="AD643" s="20"/>
    </row>
    <row r="644" spans="14:30" x14ac:dyDescent="0.25">
      <c r="N644" s="9"/>
      <c r="P644" s="33"/>
      <c r="Q644" s="4"/>
      <c r="R644" s="4"/>
      <c r="S644" s="4"/>
      <c r="T644" s="4"/>
      <c r="U644" s="4"/>
      <c r="V644" s="4"/>
      <c r="X644" s="4"/>
      <c r="Y644" s="4"/>
      <c r="AA644" s="4"/>
      <c r="AB644" s="4"/>
      <c r="AC644" s="4"/>
      <c r="AD644" s="20"/>
    </row>
    <row r="645" spans="14:30" x14ac:dyDescent="0.25">
      <c r="N645" s="9"/>
      <c r="P645" s="33"/>
      <c r="Q645" s="4"/>
      <c r="R645" s="4"/>
      <c r="S645" s="4"/>
      <c r="T645" s="4"/>
      <c r="U645" s="4"/>
      <c r="V645" s="4"/>
      <c r="X645" s="4"/>
      <c r="Y645" s="4"/>
      <c r="AA645" s="4"/>
      <c r="AB645" s="4"/>
      <c r="AC645" s="4"/>
      <c r="AD645" s="20"/>
    </row>
    <row r="646" spans="14:30" x14ac:dyDescent="0.25">
      <c r="N646" s="9"/>
      <c r="P646" s="33"/>
      <c r="Q646" s="4"/>
      <c r="R646" s="4"/>
      <c r="S646" s="4"/>
      <c r="T646" s="4"/>
      <c r="U646" s="4"/>
      <c r="V646" s="4"/>
      <c r="X646" s="4"/>
      <c r="Y646" s="4"/>
      <c r="AA646" s="4"/>
      <c r="AB646" s="4"/>
      <c r="AC646" s="4"/>
      <c r="AD646" s="20"/>
    </row>
    <row r="647" spans="14:30" x14ac:dyDescent="0.25">
      <c r="N647" s="9"/>
      <c r="P647" s="33"/>
      <c r="Q647" s="4"/>
      <c r="R647" s="4"/>
      <c r="S647" s="4"/>
      <c r="T647" s="4"/>
      <c r="U647" s="4"/>
      <c r="V647" s="4"/>
      <c r="X647" s="4"/>
      <c r="Y647" s="4"/>
      <c r="AA647" s="4"/>
      <c r="AB647" s="4"/>
      <c r="AC647" s="4"/>
      <c r="AD647" s="20"/>
    </row>
    <row r="648" spans="14:30" x14ac:dyDescent="0.25">
      <c r="N648" s="9"/>
      <c r="P648" s="33"/>
      <c r="Q648" s="4"/>
      <c r="R648" s="4"/>
      <c r="S648" s="4"/>
      <c r="T648" s="4"/>
      <c r="U648" s="4"/>
      <c r="V648" s="4"/>
      <c r="X648" s="4"/>
      <c r="Y648" s="4"/>
      <c r="AA648" s="4"/>
      <c r="AB648" s="4"/>
      <c r="AC648" s="4"/>
      <c r="AD648" s="20"/>
    </row>
    <row r="649" spans="14:30" x14ac:dyDescent="0.25">
      <c r="N649" s="9"/>
      <c r="P649" s="33"/>
      <c r="Q649" s="4"/>
      <c r="R649" s="4"/>
      <c r="S649" s="4"/>
      <c r="T649" s="4"/>
      <c r="U649" s="4"/>
      <c r="V649" s="4"/>
      <c r="X649" s="4"/>
      <c r="Y649" s="4"/>
      <c r="AA649" s="4"/>
      <c r="AB649" s="4"/>
      <c r="AC649" s="4"/>
      <c r="AD649" s="20"/>
    </row>
    <row r="650" spans="14:30" x14ac:dyDescent="0.25">
      <c r="N650" s="9"/>
      <c r="P650" s="33"/>
      <c r="Q650" s="4"/>
      <c r="R650" s="4"/>
      <c r="S650" s="4"/>
      <c r="T650" s="4"/>
      <c r="U650" s="4"/>
      <c r="V650" s="4"/>
      <c r="X650" s="4"/>
      <c r="Y650" s="4"/>
      <c r="AA650" s="4"/>
      <c r="AB650" s="4"/>
      <c r="AC650" s="4"/>
      <c r="AD650" s="20"/>
    </row>
    <row r="651" spans="14:30" x14ac:dyDescent="0.25">
      <c r="N651" s="9"/>
      <c r="P651" s="33"/>
      <c r="Q651" s="4"/>
      <c r="R651" s="4"/>
      <c r="S651" s="4"/>
      <c r="T651" s="4"/>
      <c r="U651" s="4"/>
      <c r="V651" s="4"/>
      <c r="X651" s="4"/>
      <c r="Y651" s="4"/>
      <c r="AA651" s="4"/>
      <c r="AB651" s="4"/>
      <c r="AC651" s="4"/>
      <c r="AD651" s="20"/>
    </row>
    <row r="652" spans="14:30" x14ac:dyDescent="0.25">
      <c r="N652" s="9"/>
      <c r="P652" s="33"/>
      <c r="Q652" s="4"/>
      <c r="R652" s="4"/>
      <c r="S652" s="4"/>
      <c r="T652" s="4"/>
      <c r="U652" s="4"/>
      <c r="V652" s="4"/>
      <c r="X652" s="4"/>
      <c r="Y652" s="4"/>
      <c r="AA652" s="4"/>
      <c r="AB652" s="4"/>
      <c r="AC652" s="4"/>
      <c r="AD652" s="20"/>
    </row>
    <row r="653" spans="14:30" x14ac:dyDescent="0.25">
      <c r="N653" s="9"/>
      <c r="P653" s="33"/>
      <c r="Q653" s="4"/>
      <c r="R653" s="4"/>
      <c r="S653" s="4"/>
      <c r="T653" s="4"/>
      <c r="U653" s="4"/>
      <c r="V653" s="4"/>
      <c r="X653" s="4"/>
      <c r="Y653" s="4"/>
      <c r="AA653" s="4"/>
      <c r="AB653" s="4"/>
      <c r="AC653" s="4"/>
      <c r="AD653" s="20"/>
    </row>
    <row r="654" spans="14:30" x14ac:dyDescent="0.25">
      <c r="N654" s="9"/>
      <c r="P654" s="33"/>
      <c r="Q654" s="4"/>
      <c r="R654" s="4"/>
      <c r="S654" s="4"/>
      <c r="T654" s="4"/>
      <c r="U654" s="4"/>
      <c r="V654" s="4"/>
      <c r="X654" s="4"/>
      <c r="Y654" s="4"/>
      <c r="AA654" s="4"/>
      <c r="AB654" s="4"/>
      <c r="AC654" s="4"/>
      <c r="AD654" s="20"/>
    </row>
    <row r="655" spans="14:30" x14ac:dyDescent="0.25">
      <c r="N655" s="9"/>
      <c r="P655" s="33"/>
      <c r="Q655" s="4"/>
      <c r="R655" s="4"/>
      <c r="S655" s="4"/>
      <c r="T655" s="4"/>
      <c r="U655" s="4"/>
      <c r="V655" s="4"/>
      <c r="X655" s="4"/>
      <c r="Y655" s="4"/>
      <c r="AA655" s="4"/>
      <c r="AB655" s="4"/>
      <c r="AC655" s="4"/>
      <c r="AD655" s="20"/>
    </row>
    <row r="656" spans="14:30" x14ac:dyDescent="0.25">
      <c r="N656" s="9"/>
      <c r="P656" s="33"/>
      <c r="Q656" s="4"/>
      <c r="R656" s="4"/>
      <c r="S656" s="4"/>
      <c r="T656" s="4"/>
      <c r="U656" s="4"/>
      <c r="V656" s="4"/>
      <c r="X656" s="4"/>
      <c r="Y656" s="4"/>
      <c r="AA656" s="4"/>
      <c r="AB656" s="4"/>
      <c r="AC656" s="4"/>
      <c r="AD656" s="20"/>
    </row>
    <row r="657" spans="14:30" x14ac:dyDescent="0.25">
      <c r="N657" s="9"/>
      <c r="P657" s="33"/>
      <c r="Q657" s="4"/>
      <c r="R657" s="4"/>
      <c r="S657" s="4"/>
      <c r="T657" s="4"/>
      <c r="U657" s="4"/>
      <c r="V657" s="4"/>
      <c r="X657" s="4"/>
      <c r="Y657" s="4"/>
      <c r="AA657" s="4"/>
      <c r="AB657" s="4"/>
      <c r="AC657" s="4"/>
      <c r="AD657" s="20"/>
    </row>
    <row r="658" spans="14:30" x14ac:dyDescent="0.25">
      <c r="N658" s="9"/>
      <c r="P658" s="33"/>
      <c r="Q658" s="4"/>
      <c r="R658" s="4"/>
      <c r="S658" s="4"/>
      <c r="T658" s="4"/>
      <c r="U658" s="4"/>
      <c r="V658" s="4"/>
      <c r="X658" s="4"/>
      <c r="Y658" s="4"/>
      <c r="AA658" s="4"/>
      <c r="AB658" s="4"/>
      <c r="AC658" s="4"/>
      <c r="AD658" s="20"/>
    </row>
    <row r="659" spans="14:30" x14ac:dyDescent="0.25">
      <c r="N659" s="9"/>
      <c r="P659" s="33"/>
      <c r="Q659" s="4"/>
      <c r="R659" s="4"/>
      <c r="S659" s="4"/>
      <c r="T659" s="4"/>
      <c r="U659" s="4"/>
      <c r="V659" s="4"/>
      <c r="X659" s="4"/>
      <c r="Y659" s="4"/>
      <c r="AA659" s="4"/>
      <c r="AB659" s="4"/>
      <c r="AC659" s="4"/>
      <c r="AD659" s="20"/>
    </row>
    <row r="660" spans="14:30" x14ac:dyDescent="0.25">
      <c r="N660" s="9"/>
      <c r="P660" s="33"/>
      <c r="Q660" s="4"/>
      <c r="R660" s="4"/>
      <c r="S660" s="4"/>
      <c r="T660" s="4"/>
      <c r="U660" s="4"/>
      <c r="V660" s="4"/>
      <c r="X660" s="4"/>
      <c r="Y660" s="4"/>
      <c r="AA660" s="4"/>
      <c r="AB660" s="4"/>
      <c r="AC660" s="4"/>
      <c r="AD660" s="20"/>
    </row>
    <row r="661" spans="14:30" x14ac:dyDescent="0.25">
      <c r="N661" s="9"/>
      <c r="P661" s="33"/>
      <c r="Q661" s="4"/>
      <c r="R661" s="4"/>
      <c r="S661" s="4"/>
      <c r="T661" s="4"/>
      <c r="U661" s="4"/>
      <c r="V661" s="4"/>
      <c r="X661" s="4"/>
      <c r="Y661" s="4"/>
      <c r="AA661" s="4"/>
      <c r="AB661" s="4"/>
      <c r="AC661" s="4"/>
      <c r="AD661" s="20"/>
    </row>
    <row r="662" spans="14:30" x14ac:dyDescent="0.25">
      <c r="N662" s="9"/>
      <c r="P662" s="33"/>
      <c r="Q662" s="4"/>
      <c r="R662" s="4"/>
      <c r="S662" s="4"/>
      <c r="T662" s="4"/>
      <c r="U662" s="4"/>
      <c r="V662" s="4"/>
      <c r="X662" s="4"/>
      <c r="Y662" s="4"/>
      <c r="AA662" s="4"/>
      <c r="AB662" s="4"/>
      <c r="AC662" s="4"/>
      <c r="AD662" s="20"/>
    </row>
    <row r="663" spans="14:30" x14ac:dyDescent="0.25">
      <c r="N663" s="9"/>
      <c r="P663" s="33"/>
      <c r="Q663" s="4"/>
      <c r="R663" s="4"/>
      <c r="S663" s="4"/>
      <c r="T663" s="4"/>
      <c r="U663" s="4"/>
      <c r="V663" s="4"/>
      <c r="X663" s="4"/>
      <c r="Y663" s="4"/>
      <c r="AA663" s="4"/>
      <c r="AB663" s="4"/>
      <c r="AC663" s="4"/>
      <c r="AD663" s="20"/>
    </row>
    <row r="664" spans="14:30" x14ac:dyDescent="0.25">
      <c r="N664" s="9"/>
      <c r="P664" s="33"/>
      <c r="Q664" s="4"/>
      <c r="R664" s="4"/>
      <c r="S664" s="4"/>
      <c r="T664" s="4"/>
      <c r="U664" s="4"/>
      <c r="V664" s="4"/>
      <c r="X664" s="4"/>
      <c r="Y664" s="4"/>
      <c r="AA664" s="4"/>
      <c r="AB664" s="4"/>
      <c r="AC664" s="4"/>
      <c r="AD664" s="20"/>
    </row>
    <row r="665" spans="14:30" x14ac:dyDescent="0.25">
      <c r="N665" s="9"/>
      <c r="P665" s="33"/>
      <c r="Q665" s="4"/>
      <c r="R665" s="4"/>
      <c r="S665" s="4"/>
      <c r="T665" s="4"/>
      <c r="U665" s="4"/>
      <c r="V665" s="4"/>
      <c r="X665" s="4"/>
      <c r="Y665" s="4"/>
      <c r="AA665" s="4"/>
      <c r="AB665" s="4"/>
      <c r="AC665" s="4"/>
      <c r="AD665" s="20"/>
    </row>
    <row r="666" spans="14:30" x14ac:dyDescent="0.25">
      <c r="N666" s="9"/>
      <c r="P666" s="33"/>
      <c r="Q666" s="4"/>
      <c r="R666" s="4"/>
      <c r="S666" s="4"/>
      <c r="T666" s="4"/>
      <c r="U666" s="4"/>
      <c r="V666" s="4"/>
      <c r="X666" s="4"/>
      <c r="Y666" s="4"/>
      <c r="AA666" s="4"/>
      <c r="AB666" s="4"/>
      <c r="AC666" s="4"/>
      <c r="AD666" s="20"/>
    </row>
    <row r="667" spans="14:30" x14ac:dyDescent="0.25">
      <c r="N667" s="9"/>
      <c r="P667" s="33"/>
      <c r="Q667" s="4"/>
      <c r="R667" s="4"/>
      <c r="S667" s="4"/>
      <c r="T667" s="4"/>
      <c r="U667" s="4"/>
      <c r="V667" s="4"/>
      <c r="X667" s="4"/>
      <c r="Y667" s="4"/>
      <c r="AA667" s="4"/>
      <c r="AB667" s="4"/>
      <c r="AC667" s="4"/>
      <c r="AD667" s="20"/>
    </row>
    <row r="668" spans="14:30" x14ac:dyDescent="0.25">
      <c r="N668" s="9"/>
      <c r="P668" s="33"/>
      <c r="Q668" s="4"/>
      <c r="R668" s="4"/>
      <c r="S668" s="4"/>
      <c r="T668" s="4"/>
      <c r="U668" s="4"/>
      <c r="V668" s="4"/>
      <c r="X668" s="4"/>
      <c r="Y668" s="4"/>
      <c r="AA668" s="4"/>
      <c r="AB668" s="4"/>
      <c r="AC668" s="4"/>
      <c r="AD668" s="20"/>
    </row>
    <row r="669" spans="14:30" x14ac:dyDescent="0.25">
      <c r="N669" s="9"/>
      <c r="P669" s="33"/>
      <c r="Q669" s="4"/>
      <c r="R669" s="4"/>
      <c r="S669" s="4"/>
      <c r="T669" s="4"/>
      <c r="U669" s="4"/>
      <c r="V669" s="4"/>
      <c r="X669" s="4"/>
      <c r="Y669" s="4"/>
      <c r="AA669" s="4"/>
      <c r="AB669" s="4"/>
      <c r="AC669" s="4"/>
      <c r="AD669" s="20"/>
    </row>
    <row r="670" spans="14:30" x14ac:dyDescent="0.25">
      <c r="N670" s="9"/>
      <c r="P670" s="33"/>
      <c r="Q670" s="4"/>
      <c r="R670" s="4"/>
      <c r="S670" s="4"/>
      <c r="T670" s="4"/>
      <c r="U670" s="4"/>
      <c r="V670" s="4"/>
      <c r="X670" s="4"/>
      <c r="Y670" s="4"/>
      <c r="AA670" s="4"/>
      <c r="AB670" s="4"/>
      <c r="AC670" s="4"/>
      <c r="AD670" s="20"/>
    </row>
    <row r="671" spans="14:30" x14ac:dyDescent="0.25">
      <c r="N671" s="9"/>
      <c r="P671" s="33"/>
      <c r="Q671" s="4"/>
      <c r="R671" s="4"/>
      <c r="S671" s="4"/>
      <c r="T671" s="4"/>
      <c r="U671" s="4"/>
      <c r="V671" s="4"/>
      <c r="X671" s="4"/>
      <c r="Y671" s="4"/>
      <c r="AA671" s="4"/>
      <c r="AB671" s="4"/>
      <c r="AC671" s="4"/>
      <c r="AD671" s="20"/>
    </row>
    <row r="672" spans="14:30" x14ac:dyDescent="0.25">
      <c r="N672" s="9"/>
      <c r="P672" s="33"/>
      <c r="Q672" s="4"/>
      <c r="R672" s="4"/>
      <c r="S672" s="4"/>
      <c r="T672" s="4"/>
      <c r="U672" s="4"/>
      <c r="V672" s="4"/>
      <c r="X672" s="4"/>
      <c r="Y672" s="4"/>
      <c r="AA672" s="4"/>
      <c r="AB672" s="4"/>
      <c r="AC672" s="4"/>
      <c r="AD672" s="20"/>
    </row>
    <row r="673" spans="14:30" x14ac:dyDescent="0.25">
      <c r="N673" s="9"/>
      <c r="P673" s="33"/>
      <c r="Q673" s="4"/>
      <c r="R673" s="4"/>
      <c r="S673" s="4"/>
      <c r="T673" s="4"/>
      <c r="U673" s="4"/>
      <c r="V673" s="4"/>
      <c r="X673" s="4"/>
      <c r="Y673" s="4"/>
      <c r="AA673" s="4"/>
      <c r="AB673" s="4"/>
      <c r="AC673" s="4"/>
      <c r="AD673" s="20"/>
    </row>
    <row r="674" spans="14:30" x14ac:dyDescent="0.25">
      <c r="N674" s="9"/>
      <c r="P674" s="33"/>
      <c r="Q674" s="4"/>
      <c r="R674" s="4"/>
      <c r="S674" s="4"/>
      <c r="T674" s="4"/>
      <c r="U674" s="4"/>
      <c r="V674" s="4"/>
      <c r="X674" s="4"/>
      <c r="Y674" s="4"/>
      <c r="AA674" s="4"/>
      <c r="AB674" s="4"/>
      <c r="AC674" s="4"/>
      <c r="AD674" s="20"/>
    </row>
    <row r="675" spans="14:30" x14ac:dyDescent="0.25">
      <c r="N675" s="9"/>
      <c r="P675" s="33"/>
      <c r="Q675" s="4"/>
      <c r="R675" s="4"/>
      <c r="S675" s="4"/>
      <c r="T675" s="4"/>
      <c r="U675" s="4"/>
      <c r="V675" s="4"/>
      <c r="X675" s="4"/>
      <c r="Y675" s="4"/>
      <c r="AA675" s="4"/>
      <c r="AB675" s="4"/>
      <c r="AC675" s="4"/>
      <c r="AD675" s="20"/>
    </row>
    <row r="676" spans="14:30" x14ac:dyDescent="0.25">
      <c r="N676" s="9"/>
      <c r="P676" s="33"/>
      <c r="Q676" s="4"/>
      <c r="R676" s="4"/>
      <c r="S676" s="4"/>
      <c r="T676" s="4"/>
      <c r="U676" s="4"/>
      <c r="V676" s="4"/>
      <c r="X676" s="4"/>
      <c r="Y676" s="4"/>
      <c r="AA676" s="4"/>
      <c r="AB676" s="4"/>
      <c r="AC676" s="4"/>
      <c r="AD676" s="20"/>
    </row>
    <row r="677" spans="14:30" x14ac:dyDescent="0.25">
      <c r="N677" s="9"/>
      <c r="P677" s="33"/>
      <c r="Q677" s="4"/>
      <c r="R677" s="4"/>
      <c r="S677" s="4"/>
      <c r="T677" s="4"/>
      <c r="U677" s="4"/>
      <c r="V677" s="4"/>
      <c r="X677" s="4"/>
      <c r="Y677" s="4"/>
      <c r="AA677" s="4"/>
      <c r="AB677" s="4"/>
      <c r="AC677" s="4"/>
      <c r="AD677" s="20"/>
    </row>
    <row r="678" spans="14:30" x14ac:dyDescent="0.25">
      <c r="N678" s="9"/>
      <c r="P678" s="33"/>
      <c r="Q678" s="4"/>
      <c r="R678" s="4"/>
      <c r="S678" s="4"/>
      <c r="T678" s="4"/>
      <c r="U678" s="4"/>
      <c r="V678" s="4"/>
      <c r="X678" s="4"/>
      <c r="Y678" s="4"/>
      <c r="AA678" s="4"/>
      <c r="AB678" s="4"/>
      <c r="AC678" s="4"/>
      <c r="AD678" s="20"/>
    </row>
    <row r="679" spans="14:30" x14ac:dyDescent="0.25">
      <c r="N679" s="9"/>
      <c r="P679" s="33"/>
      <c r="Q679" s="4"/>
      <c r="R679" s="4"/>
      <c r="S679" s="4"/>
      <c r="T679" s="4"/>
      <c r="U679" s="4"/>
      <c r="V679" s="4"/>
      <c r="X679" s="4"/>
      <c r="Y679" s="4"/>
      <c r="AA679" s="4"/>
      <c r="AB679" s="4"/>
      <c r="AC679" s="4"/>
      <c r="AD679" s="20"/>
    </row>
    <row r="680" spans="14:30" x14ac:dyDescent="0.25">
      <c r="N680" s="9"/>
      <c r="P680" s="33"/>
      <c r="Q680" s="4"/>
      <c r="R680" s="4"/>
      <c r="S680" s="4"/>
      <c r="T680" s="4"/>
      <c r="U680" s="4"/>
      <c r="V680" s="4"/>
      <c r="X680" s="4"/>
      <c r="Y680" s="4"/>
      <c r="AA680" s="4"/>
      <c r="AB680" s="4"/>
      <c r="AC680" s="4"/>
      <c r="AD680" s="20"/>
    </row>
    <row r="681" spans="14:30" x14ac:dyDescent="0.25">
      <c r="N681" s="9"/>
      <c r="P681" s="33"/>
      <c r="Q681" s="4"/>
      <c r="R681" s="4"/>
      <c r="S681" s="4"/>
      <c r="T681" s="4"/>
      <c r="U681" s="4"/>
      <c r="V681" s="4"/>
      <c r="X681" s="4"/>
      <c r="Y681" s="4"/>
      <c r="AA681" s="4"/>
      <c r="AB681" s="4"/>
      <c r="AC681" s="4"/>
      <c r="AD681" s="20"/>
    </row>
    <row r="682" spans="14:30" x14ac:dyDescent="0.25">
      <c r="N682" s="9"/>
      <c r="P682" s="33"/>
      <c r="Q682" s="4"/>
      <c r="R682" s="4"/>
      <c r="S682" s="4"/>
      <c r="T682" s="4"/>
      <c r="U682" s="4"/>
      <c r="V682" s="4"/>
      <c r="X682" s="4"/>
      <c r="Y682" s="4"/>
      <c r="AA682" s="4"/>
      <c r="AB682" s="4"/>
      <c r="AC682" s="4"/>
      <c r="AD682" s="20"/>
    </row>
    <row r="683" spans="14:30" x14ac:dyDescent="0.25">
      <c r="N683" s="9"/>
      <c r="P683" s="33"/>
      <c r="Q683" s="4"/>
      <c r="R683" s="4"/>
      <c r="S683" s="4"/>
      <c r="T683" s="4"/>
      <c r="U683" s="4"/>
      <c r="V683" s="4"/>
      <c r="X683" s="4"/>
      <c r="Y683" s="4"/>
      <c r="AA683" s="4"/>
      <c r="AB683" s="4"/>
      <c r="AC683" s="4"/>
      <c r="AD683" s="20"/>
    </row>
    <row r="684" spans="14:30" x14ac:dyDescent="0.25">
      <c r="N684" s="9"/>
      <c r="P684" s="33"/>
      <c r="Q684" s="4"/>
      <c r="R684" s="4"/>
      <c r="S684" s="4"/>
      <c r="T684" s="4"/>
      <c r="U684" s="4"/>
      <c r="V684" s="4"/>
      <c r="X684" s="4"/>
      <c r="Y684" s="4"/>
      <c r="AA684" s="4"/>
      <c r="AB684" s="4"/>
      <c r="AC684" s="4"/>
      <c r="AD684" s="20"/>
    </row>
    <row r="685" spans="14:30" x14ac:dyDescent="0.25">
      <c r="N685" s="9"/>
      <c r="P685" s="33"/>
      <c r="Q685" s="4"/>
      <c r="R685" s="4"/>
      <c r="S685" s="4"/>
      <c r="T685" s="4"/>
      <c r="U685" s="4"/>
      <c r="V685" s="4"/>
      <c r="X685" s="4"/>
      <c r="Y685" s="4"/>
      <c r="AA685" s="4"/>
      <c r="AB685" s="4"/>
      <c r="AC685" s="4"/>
      <c r="AD685" s="20"/>
    </row>
    <row r="686" spans="14:30" x14ac:dyDescent="0.25">
      <c r="N686" s="9"/>
      <c r="P686" s="33"/>
      <c r="Q686" s="4"/>
      <c r="R686" s="4"/>
      <c r="S686" s="4"/>
      <c r="T686" s="4"/>
      <c r="U686" s="4"/>
      <c r="V686" s="4"/>
      <c r="X686" s="4"/>
      <c r="Y686" s="4"/>
      <c r="AA686" s="4"/>
      <c r="AB686" s="4"/>
      <c r="AC686" s="4"/>
      <c r="AD686" s="20"/>
    </row>
    <row r="687" spans="14:30" x14ac:dyDescent="0.25">
      <c r="N687" s="9"/>
      <c r="P687" s="33"/>
      <c r="Q687" s="4"/>
      <c r="R687" s="4"/>
      <c r="S687" s="4"/>
      <c r="T687" s="4"/>
      <c r="U687" s="4"/>
      <c r="V687" s="4"/>
      <c r="X687" s="4"/>
      <c r="Y687" s="4"/>
      <c r="AA687" s="4"/>
      <c r="AB687" s="4"/>
      <c r="AC687" s="4"/>
      <c r="AD687" s="20"/>
    </row>
    <row r="688" spans="14:30" x14ac:dyDescent="0.25">
      <c r="N688" s="9"/>
      <c r="P688" s="33"/>
      <c r="Q688" s="4"/>
      <c r="R688" s="4"/>
      <c r="S688" s="4"/>
      <c r="T688" s="4"/>
      <c r="U688" s="4"/>
      <c r="V688" s="4"/>
      <c r="X688" s="4"/>
      <c r="Y688" s="4"/>
      <c r="AA688" s="4"/>
      <c r="AB688" s="4"/>
      <c r="AC688" s="4"/>
      <c r="AD688" s="20"/>
    </row>
    <row r="689" spans="14:30" x14ac:dyDescent="0.25">
      <c r="N689" s="9"/>
      <c r="P689" s="33"/>
      <c r="Q689" s="4"/>
      <c r="R689" s="4"/>
      <c r="S689" s="4"/>
      <c r="T689" s="4"/>
      <c r="U689" s="4"/>
      <c r="V689" s="4"/>
      <c r="X689" s="4"/>
      <c r="Y689" s="4"/>
      <c r="AA689" s="4"/>
      <c r="AB689" s="4"/>
      <c r="AC689" s="4"/>
      <c r="AD689" s="20"/>
    </row>
    <row r="690" spans="14:30" x14ac:dyDescent="0.25">
      <c r="N690" s="9"/>
      <c r="P690" s="33"/>
      <c r="Q690" s="4"/>
      <c r="R690" s="4"/>
      <c r="S690" s="4"/>
      <c r="T690" s="4"/>
      <c r="U690" s="4"/>
      <c r="V690" s="4"/>
      <c r="X690" s="4"/>
      <c r="Y690" s="4"/>
      <c r="AA690" s="4"/>
      <c r="AB690" s="4"/>
      <c r="AC690" s="4"/>
      <c r="AD690" s="20"/>
    </row>
    <row r="691" spans="14:30" x14ac:dyDescent="0.25">
      <c r="N691" s="9"/>
      <c r="P691" s="33"/>
      <c r="Q691" s="4"/>
      <c r="R691" s="4"/>
      <c r="S691" s="4"/>
      <c r="T691" s="4"/>
      <c r="U691" s="4"/>
      <c r="V691" s="4"/>
      <c r="X691" s="4"/>
      <c r="Y691" s="4"/>
      <c r="AA691" s="4"/>
      <c r="AB691" s="4"/>
      <c r="AC691" s="4"/>
      <c r="AD691" s="20"/>
    </row>
    <row r="692" spans="14:30" x14ac:dyDescent="0.25">
      <c r="N692" s="9"/>
      <c r="P692" s="33"/>
      <c r="Q692" s="4"/>
      <c r="R692" s="4"/>
      <c r="S692" s="4"/>
      <c r="T692" s="4"/>
      <c r="U692" s="4"/>
      <c r="V692" s="4"/>
      <c r="X692" s="4"/>
      <c r="Y692" s="4"/>
      <c r="AA692" s="4"/>
      <c r="AB692" s="4"/>
      <c r="AC692" s="4"/>
      <c r="AD692" s="20"/>
    </row>
    <row r="693" spans="14:30" x14ac:dyDescent="0.25">
      <c r="N693" s="9"/>
      <c r="P693" s="33"/>
      <c r="Q693" s="4"/>
      <c r="R693" s="4"/>
      <c r="S693" s="4"/>
      <c r="T693" s="4"/>
      <c r="U693" s="4"/>
      <c r="V693" s="4"/>
      <c r="X693" s="4"/>
      <c r="Y693" s="4"/>
      <c r="AA693" s="4"/>
      <c r="AB693" s="4"/>
      <c r="AC693" s="4"/>
      <c r="AD693" s="20"/>
    </row>
    <row r="694" spans="14:30" x14ac:dyDescent="0.25">
      <c r="N694" s="9"/>
      <c r="P694" s="33"/>
      <c r="Q694" s="4"/>
      <c r="R694" s="4"/>
      <c r="S694" s="4"/>
      <c r="T694" s="4"/>
      <c r="U694" s="4"/>
      <c r="V694" s="4"/>
      <c r="X694" s="4"/>
      <c r="Y694" s="4"/>
      <c r="AA694" s="4"/>
      <c r="AB694" s="4"/>
      <c r="AC694" s="4"/>
      <c r="AD694" s="20"/>
    </row>
    <row r="695" spans="14:30" x14ac:dyDescent="0.25">
      <c r="N695" s="9"/>
      <c r="P695" s="33"/>
      <c r="Q695" s="4"/>
      <c r="R695" s="4"/>
      <c r="S695" s="4"/>
      <c r="T695" s="4"/>
      <c r="U695" s="4"/>
      <c r="V695" s="4"/>
      <c r="X695" s="4"/>
      <c r="Y695" s="4"/>
      <c r="AA695" s="4"/>
      <c r="AB695" s="4"/>
      <c r="AC695" s="4"/>
      <c r="AD695" s="20"/>
    </row>
    <row r="696" spans="14:30" x14ac:dyDescent="0.25">
      <c r="N696" s="9"/>
      <c r="P696" s="33"/>
      <c r="Q696" s="4"/>
      <c r="R696" s="4"/>
      <c r="S696" s="4"/>
      <c r="T696" s="4"/>
      <c r="U696" s="4"/>
      <c r="V696" s="4"/>
      <c r="X696" s="4"/>
      <c r="Y696" s="4"/>
      <c r="AA696" s="4"/>
      <c r="AB696" s="4"/>
      <c r="AC696" s="4"/>
      <c r="AD696" s="20"/>
    </row>
    <row r="697" spans="14:30" x14ac:dyDescent="0.25">
      <c r="N697" s="9"/>
      <c r="P697" s="33"/>
      <c r="Q697" s="4"/>
      <c r="R697" s="4"/>
      <c r="S697" s="4"/>
      <c r="T697" s="4"/>
      <c r="U697" s="4"/>
      <c r="V697" s="4"/>
      <c r="X697" s="4"/>
      <c r="Y697" s="4"/>
      <c r="AA697" s="4"/>
      <c r="AB697" s="4"/>
      <c r="AC697" s="4"/>
      <c r="AD697" s="20"/>
    </row>
    <row r="698" spans="14:30" x14ac:dyDescent="0.25">
      <c r="N698" s="9"/>
      <c r="P698" s="33"/>
      <c r="Q698" s="4"/>
      <c r="R698" s="4"/>
      <c r="S698" s="4"/>
      <c r="T698" s="4"/>
      <c r="U698" s="4"/>
      <c r="V698" s="4"/>
      <c r="X698" s="4"/>
      <c r="Y698" s="4"/>
      <c r="AA698" s="4"/>
      <c r="AB698" s="4"/>
      <c r="AC698" s="4"/>
      <c r="AD698" s="20"/>
    </row>
    <row r="699" spans="14:30" x14ac:dyDescent="0.25">
      <c r="N699" s="9"/>
      <c r="P699" s="33"/>
      <c r="Q699" s="4"/>
      <c r="R699" s="4"/>
      <c r="S699" s="4"/>
      <c r="T699" s="4"/>
      <c r="U699" s="4"/>
      <c r="V699" s="4"/>
      <c r="X699" s="4"/>
      <c r="Y699" s="4"/>
      <c r="AA699" s="4"/>
      <c r="AB699" s="4"/>
      <c r="AC699" s="4"/>
      <c r="AD699" s="20"/>
    </row>
    <row r="700" spans="14:30" x14ac:dyDescent="0.25">
      <c r="N700" s="9"/>
      <c r="P700" s="33"/>
      <c r="Q700" s="4"/>
      <c r="R700" s="4"/>
      <c r="S700" s="4"/>
      <c r="T700" s="4"/>
      <c r="U700" s="4"/>
      <c r="V700" s="4"/>
      <c r="X700" s="4"/>
      <c r="Y700" s="4"/>
      <c r="AA700" s="4"/>
      <c r="AB700" s="4"/>
      <c r="AC700" s="4"/>
      <c r="AD700" s="20"/>
    </row>
    <row r="701" spans="14:30" x14ac:dyDescent="0.25">
      <c r="N701" s="9"/>
      <c r="P701" s="33"/>
      <c r="Q701" s="4"/>
      <c r="R701" s="4"/>
      <c r="S701" s="4"/>
      <c r="T701" s="4"/>
      <c r="U701" s="4"/>
      <c r="V701" s="4"/>
      <c r="X701" s="4"/>
      <c r="Y701" s="4"/>
      <c r="AA701" s="4"/>
      <c r="AB701" s="4"/>
      <c r="AC701" s="4"/>
      <c r="AD701" s="20"/>
    </row>
    <row r="702" spans="14:30" x14ac:dyDescent="0.25">
      <c r="N702" s="9"/>
      <c r="P702" s="33"/>
      <c r="Q702" s="4"/>
      <c r="R702" s="4"/>
      <c r="S702" s="4"/>
      <c r="T702" s="4"/>
      <c r="U702" s="4"/>
      <c r="V702" s="4"/>
      <c r="X702" s="4"/>
      <c r="Y702" s="4"/>
      <c r="AA702" s="4"/>
      <c r="AB702" s="4"/>
      <c r="AC702" s="4"/>
      <c r="AD702" s="20"/>
    </row>
    <row r="703" spans="14:30" x14ac:dyDescent="0.25">
      <c r="N703" s="9"/>
      <c r="P703" s="33"/>
      <c r="Q703" s="4"/>
      <c r="R703" s="4"/>
      <c r="S703" s="4"/>
      <c r="T703" s="4"/>
      <c r="U703" s="4"/>
      <c r="V703" s="4"/>
      <c r="X703" s="4"/>
      <c r="Y703" s="4"/>
      <c r="AA703" s="4"/>
      <c r="AB703" s="4"/>
      <c r="AC703" s="4"/>
      <c r="AD703" s="20"/>
    </row>
    <row r="704" spans="14:30" x14ac:dyDescent="0.25">
      <c r="N704" s="9"/>
      <c r="P704" s="33"/>
      <c r="Q704" s="4"/>
      <c r="R704" s="4"/>
      <c r="S704" s="4"/>
      <c r="T704" s="4"/>
      <c r="U704" s="4"/>
      <c r="V704" s="4"/>
      <c r="X704" s="4"/>
      <c r="Y704" s="4"/>
      <c r="AA704" s="4"/>
      <c r="AB704" s="4"/>
      <c r="AC704" s="4"/>
      <c r="AD704" s="20"/>
    </row>
    <row r="705" spans="14:30" x14ac:dyDescent="0.25">
      <c r="N705" s="9"/>
      <c r="P705" s="33"/>
      <c r="Q705" s="4"/>
      <c r="R705" s="4"/>
      <c r="S705" s="4"/>
      <c r="T705" s="4"/>
      <c r="U705" s="4"/>
      <c r="V705" s="4"/>
      <c r="X705" s="4"/>
      <c r="Y705" s="4"/>
      <c r="AA705" s="4"/>
      <c r="AB705" s="4"/>
      <c r="AC705" s="4"/>
      <c r="AD705" s="20"/>
    </row>
    <row r="706" spans="14:30" x14ac:dyDescent="0.25">
      <c r="N706" s="9"/>
      <c r="P706" s="33"/>
      <c r="Q706" s="4"/>
      <c r="R706" s="4"/>
      <c r="S706" s="4"/>
      <c r="T706" s="4"/>
      <c r="U706" s="4"/>
      <c r="V706" s="4"/>
      <c r="X706" s="4"/>
      <c r="Y706" s="4"/>
      <c r="AA706" s="4"/>
      <c r="AB706" s="4"/>
      <c r="AC706" s="4"/>
      <c r="AD706" s="20"/>
    </row>
    <row r="707" spans="14:30" x14ac:dyDescent="0.25">
      <c r="N707" s="9"/>
      <c r="P707" s="33"/>
      <c r="Q707" s="4"/>
      <c r="R707" s="4"/>
      <c r="S707" s="4"/>
      <c r="T707" s="4"/>
      <c r="U707" s="4"/>
      <c r="V707" s="4"/>
      <c r="X707" s="4"/>
      <c r="Y707" s="4"/>
      <c r="AA707" s="4"/>
      <c r="AB707" s="4"/>
      <c r="AC707" s="4"/>
      <c r="AD707" s="20"/>
    </row>
    <row r="708" spans="14:30" x14ac:dyDescent="0.25">
      <c r="N708" s="9"/>
      <c r="P708" s="33"/>
      <c r="Q708" s="4"/>
      <c r="R708" s="4"/>
      <c r="S708" s="4"/>
      <c r="T708" s="4"/>
      <c r="U708" s="4"/>
      <c r="V708" s="4"/>
      <c r="X708" s="4"/>
      <c r="Y708" s="4"/>
      <c r="AA708" s="4"/>
      <c r="AB708" s="4"/>
      <c r="AC708" s="4"/>
      <c r="AD708" s="20"/>
    </row>
  </sheetData>
  <mergeCells count="46">
    <mergeCell ref="AF4:AR4"/>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E6:K6"/>
    <mergeCell ref="Q17:S17"/>
    <mergeCell ref="T17:V17"/>
    <mergeCell ref="W17:Y17"/>
    <mergeCell ref="P16:AE16"/>
    <mergeCell ref="Z17:AB17"/>
    <mergeCell ref="AC17:AE17"/>
    <mergeCell ref="AZ17:BB17"/>
    <mergeCell ref="AS16:BE16"/>
    <mergeCell ref="AF16:AR16"/>
    <mergeCell ref="AG17:AI17"/>
    <mergeCell ref="AJ17:AL17"/>
    <mergeCell ref="AM17:AO17"/>
    <mergeCell ref="AP17:AR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62"/>
  <sheetViews>
    <sheetView zoomScale="85" zoomScaleNormal="85" workbookViewId="0">
      <selection activeCell="I24" sqref="I24"/>
    </sheetView>
  </sheetViews>
  <sheetFormatPr baseColWidth="10" defaultColWidth="9.140625" defaultRowHeight="15" x14ac:dyDescent="0.25"/>
  <cols>
    <col min="1" max="1" width="26.85546875" customWidth="1"/>
    <col min="2" max="2" width="25.5703125" customWidth="1"/>
    <col min="3" max="3" width="10.140625" customWidth="1"/>
  </cols>
  <sheetData>
    <row r="1" spans="1:9" ht="27.75" x14ac:dyDescent="0.4">
      <c r="A1" s="213" t="s">
        <v>75</v>
      </c>
      <c r="B1" s="213"/>
      <c r="C1" s="213"/>
      <c r="D1" s="213"/>
      <c r="E1" s="213"/>
      <c r="F1" s="213"/>
      <c r="G1" s="213"/>
      <c r="H1" s="213"/>
      <c r="I1" s="213"/>
    </row>
    <row r="2" spans="1:9" x14ac:dyDescent="0.25">
      <c r="A2" s="5"/>
      <c r="B2" s="5" t="s">
        <v>16</v>
      </c>
      <c r="C2" s="6"/>
      <c r="D2" s="4"/>
      <c r="E2" s="5"/>
      <c r="F2" s="5"/>
      <c r="G2" s="5"/>
      <c r="H2" s="5"/>
      <c r="I2" s="5"/>
    </row>
    <row r="3" spans="1:9" x14ac:dyDescent="0.25">
      <c r="A3" s="5"/>
      <c r="B3" s="5" t="s">
        <v>17</v>
      </c>
      <c r="C3" s="7"/>
      <c r="D3" s="4"/>
      <c r="E3" s="5"/>
      <c r="F3" s="5"/>
      <c r="G3" s="5"/>
      <c r="H3" s="5"/>
      <c r="I3" s="5"/>
    </row>
    <row r="4" spans="1:9" x14ac:dyDescent="0.25">
      <c r="A4" s="5"/>
      <c r="B4" s="5" t="s">
        <v>18</v>
      </c>
      <c r="C4" s="8"/>
      <c r="D4" s="4"/>
      <c r="E4" s="5"/>
      <c r="F4" s="5"/>
      <c r="G4" s="5"/>
      <c r="H4" s="5"/>
      <c r="I4" s="5"/>
    </row>
    <row r="5" spans="1:9" x14ac:dyDescent="0.25">
      <c r="A5" s="9" t="s">
        <v>19</v>
      </c>
      <c r="B5" s="9" t="s">
        <v>20</v>
      </c>
      <c r="C5" s="9" t="s">
        <v>21</v>
      </c>
      <c r="D5" s="4"/>
      <c r="E5" s="214" t="s">
        <v>22</v>
      </c>
      <c r="F5" s="214"/>
      <c r="G5" s="214"/>
      <c r="H5" s="214"/>
      <c r="I5" s="9"/>
    </row>
    <row r="6" spans="1:9" x14ac:dyDescent="0.25">
      <c r="A6" s="9"/>
      <c r="B6" s="9"/>
      <c r="C6" s="9"/>
      <c r="D6" s="4"/>
      <c r="E6" s="5"/>
      <c r="F6" s="5"/>
      <c r="G6" s="5"/>
      <c r="H6" s="5"/>
      <c r="I6" s="9"/>
    </row>
    <row r="7" spans="1:9" x14ac:dyDescent="0.25">
      <c r="A7" s="9" t="s">
        <v>55</v>
      </c>
      <c r="B7" s="9"/>
      <c r="C7" s="9"/>
      <c r="D7" s="4"/>
      <c r="E7" s="5"/>
      <c r="F7" s="5"/>
      <c r="G7" s="5"/>
      <c r="H7" s="5"/>
      <c r="I7" s="9"/>
    </row>
    <row r="8" spans="1:9" x14ac:dyDescent="0.25">
      <c r="A8" s="9"/>
      <c r="B8" s="9"/>
      <c r="C8" s="9"/>
      <c r="D8" s="4"/>
      <c r="E8" s="5"/>
      <c r="F8" s="5"/>
      <c r="G8" s="5"/>
      <c r="H8" s="5"/>
      <c r="I8" s="9"/>
    </row>
    <row r="9" spans="1:9" x14ac:dyDescent="0.25">
      <c r="A9" t="s">
        <v>44</v>
      </c>
      <c r="B9" s="12">
        <v>0.8</v>
      </c>
      <c r="D9" t="s">
        <v>47</v>
      </c>
    </row>
    <row r="10" spans="1:9" x14ac:dyDescent="0.25">
      <c r="A10" t="s">
        <v>48</v>
      </c>
      <c r="B10" s="13">
        <f>(1-B9)/(2.2*10^6)</f>
        <v>9.0909090909090888E-8</v>
      </c>
      <c r="C10" t="s">
        <v>51</v>
      </c>
      <c r="D10" t="s">
        <v>54</v>
      </c>
    </row>
    <row r="11" spans="1:9" x14ac:dyDescent="0.25">
      <c r="A11" t="s">
        <v>45</v>
      </c>
      <c r="B11" s="12">
        <v>0.85</v>
      </c>
      <c r="D11" t="s">
        <v>47</v>
      </c>
    </row>
    <row r="12" spans="1:9" x14ac:dyDescent="0.25">
      <c r="A12" t="s">
        <v>49</v>
      </c>
      <c r="B12" s="13">
        <f>(1-B11)/(2.2*10^6)</f>
        <v>6.8181818181818186E-8</v>
      </c>
      <c r="C12" t="s">
        <v>51</v>
      </c>
      <c r="D12" t="s">
        <v>53</v>
      </c>
    </row>
    <row r="13" spans="1:9" x14ac:dyDescent="0.25">
      <c r="A13" t="s">
        <v>46</v>
      </c>
      <c r="B13" s="12">
        <v>0.9</v>
      </c>
      <c r="D13" t="s">
        <v>47</v>
      </c>
    </row>
    <row r="14" spans="1:9" x14ac:dyDescent="0.25">
      <c r="A14" t="s">
        <v>50</v>
      </c>
      <c r="B14" s="13">
        <f>(1-B13)/(2.2*10^6)</f>
        <v>4.5454545454545444E-8</v>
      </c>
      <c r="C14" t="s">
        <v>51</v>
      </c>
      <c r="D14" t="s">
        <v>52</v>
      </c>
    </row>
    <row r="16" spans="1:9" x14ac:dyDescent="0.25">
      <c r="A16" t="s">
        <v>56</v>
      </c>
      <c r="B16" s="12">
        <v>0.9</v>
      </c>
      <c r="D16" t="s">
        <v>62</v>
      </c>
    </row>
    <row r="17" spans="1:8" x14ac:dyDescent="0.25">
      <c r="A17" t="s">
        <v>57</v>
      </c>
      <c r="B17" s="12">
        <v>0.93</v>
      </c>
      <c r="D17" t="s">
        <v>59</v>
      </c>
    </row>
    <row r="18" spans="1:8" x14ac:dyDescent="0.25">
      <c r="A18" t="s">
        <v>58</v>
      </c>
      <c r="B18" s="12">
        <v>0.96</v>
      </c>
      <c r="D18" t="s">
        <v>63</v>
      </c>
    </row>
    <row r="19" spans="1:8" x14ac:dyDescent="0.25">
      <c r="B19">
        <f>IF(((1-D_limit_min)/Constants!B12)&lt;Fsw,2,1)</f>
        <v>1</v>
      </c>
      <c r="D19" t="s">
        <v>438</v>
      </c>
    </row>
    <row r="20" spans="1:8" x14ac:dyDescent="0.25">
      <c r="A20" t="s">
        <v>73</v>
      </c>
      <c r="B20" s="1">
        <f>CHOOSE(B19,D_limit_min,(1-Constants!B10*Fsw))</f>
        <v>0.9</v>
      </c>
      <c r="D20" t="s">
        <v>74</v>
      </c>
    </row>
    <row r="22" spans="1:8" x14ac:dyDescent="0.25">
      <c r="A22" t="s">
        <v>80</v>
      </c>
      <c r="B22" s="12">
        <f>50*10^-9</f>
        <v>5.0000000000000004E-8</v>
      </c>
      <c r="C22" t="s">
        <v>51</v>
      </c>
      <c r="D22" t="s">
        <v>81</v>
      </c>
    </row>
    <row r="24" spans="1:8" x14ac:dyDescent="0.25">
      <c r="A24" t="s">
        <v>590</v>
      </c>
      <c r="B24" s="12">
        <f>20*10^-9</f>
        <v>2E-8</v>
      </c>
      <c r="C24" t="s">
        <v>51</v>
      </c>
      <c r="D24" t="s">
        <v>589</v>
      </c>
    </row>
    <row r="25" spans="1:8" ht="15.75" x14ac:dyDescent="0.25">
      <c r="A25" s="27" t="s">
        <v>141</v>
      </c>
    </row>
    <row r="26" spans="1:8" x14ac:dyDescent="0.25">
      <c r="A26" t="s">
        <v>127</v>
      </c>
      <c r="B26" s="12">
        <f>30*10^-6</f>
        <v>2.9999999999999997E-5</v>
      </c>
      <c r="C26" t="s">
        <v>11</v>
      </c>
      <c r="D26" t="s">
        <v>128</v>
      </c>
    </row>
    <row r="27" spans="1:8" x14ac:dyDescent="0.25">
      <c r="A27" t="s">
        <v>129</v>
      </c>
      <c r="B27" s="12">
        <v>3000</v>
      </c>
      <c r="C27" s="2" t="s">
        <v>36</v>
      </c>
      <c r="D27" t="s">
        <v>130</v>
      </c>
      <c r="H27" s="31"/>
    </row>
    <row r="28" spans="1:8" x14ac:dyDescent="0.25">
      <c r="A28" t="s">
        <v>491</v>
      </c>
      <c r="B28" s="12">
        <v>4.4999999999999998E-2</v>
      </c>
      <c r="C28" s="2"/>
    </row>
    <row r="29" spans="1:8" x14ac:dyDescent="0.25">
      <c r="C29" s="2"/>
    </row>
    <row r="30" spans="1:8" x14ac:dyDescent="0.25">
      <c r="A30" t="s">
        <v>132</v>
      </c>
      <c r="B30" s="12">
        <v>0.06</v>
      </c>
      <c r="C30" s="2" t="s">
        <v>10</v>
      </c>
      <c r="D30" t="s">
        <v>133</v>
      </c>
    </row>
    <row r="32" spans="1:8" x14ac:dyDescent="0.25">
      <c r="A32" t="s">
        <v>201</v>
      </c>
      <c r="B32" s="12">
        <v>1</v>
      </c>
      <c r="C32" t="s">
        <v>150</v>
      </c>
      <c r="D32" t="s">
        <v>203</v>
      </c>
    </row>
    <row r="33" spans="1:4" x14ac:dyDescent="0.25">
      <c r="A33" t="s">
        <v>205</v>
      </c>
      <c r="B33" s="12">
        <v>10</v>
      </c>
      <c r="C33" t="s">
        <v>150</v>
      </c>
      <c r="D33" t="s">
        <v>206</v>
      </c>
    </row>
    <row r="35" spans="1:4" x14ac:dyDescent="0.25">
      <c r="A35" s="31" t="s">
        <v>225</v>
      </c>
    </row>
    <row r="36" spans="1:4" x14ac:dyDescent="0.25">
      <c r="A36" t="s">
        <v>244</v>
      </c>
      <c r="B36">
        <v>1</v>
      </c>
      <c r="C36" t="s">
        <v>10</v>
      </c>
      <c r="D36" t="s">
        <v>245</v>
      </c>
    </row>
    <row r="37" spans="1:4" x14ac:dyDescent="0.25">
      <c r="A37" t="s">
        <v>228</v>
      </c>
      <c r="B37">
        <f>(1*10^-3)/1</f>
        <v>1E-3</v>
      </c>
      <c r="C37" t="s">
        <v>230</v>
      </c>
      <c r="D37" t="s">
        <v>229</v>
      </c>
    </row>
    <row r="38" spans="1:4" x14ac:dyDescent="0.25">
      <c r="A38" t="s">
        <v>552</v>
      </c>
      <c r="B38">
        <v>20</v>
      </c>
      <c r="C38" t="s">
        <v>150</v>
      </c>
    </row>
    <row r="39" spans="1:4" x14ac:dyDescent="0.25">
      <c r="A39" t="s">
        <v>553</v>
      </c>
      <c r="B39">
        <v>60</v>
      </c>
      <c r="C39" t="s">
        <v>150</v>
      </c>
    </row>
    <row r="40" spans="1:4" x14ac:dyDescent="0.25">
      <c r="A40" t="s">
        <v>554</v>
      </c>
      <c r="B40">
        <v>100000</v>
      </c>
      <c r="C40" t="s">
        <v>469</v>
      </c>
    </row>
    <row r="41" spans="1:4" x14ac:dyDescent="0.25">
      <c r="A41" t="s">
        <v>555</v>
      </c>
      <c r="B41">
        <v>35000</v>
      </c>
      <c r="C41" t="s">
        <v>469</v>
      </c>
    </row>
    <row r="42" spans="1:4" x14ac:dyDescent="0.25">
      <c r="A42" t="s">
        <v>556</v>
      </c>
      <c r="B42">
        <v>75000</v>
      </c>
      <c r="C42" t="s">
        <v>469</v>
      </c>
    </row>
    <row r="43" spans="1:4" x14ac:dyDescent="0.25">
      <c r="A43" t="s">
        <v>557</v>
      </c>
      <c r="B43">
        <v>20000</v>
      </c>
      <c r="C43" t="s">
        <v>469</v>
      </c>
    </row>
    <row r="46" spans="1:4" x14ac:dyDescent="0.25">
      <c r="A46" s="31" t="s">
        <v>277</v>
      </c>
    </row>
    <row r="47" spans="1:4" x14ac:dyDescent="0.25">
      <c r="A47" t="s">
        <v>278</v>
      </c>
      <c r="B47">
        <f>20*10^-6</f>
        <v>1.9999999999999998E-5</v>
      </c>
      <c r="C47" t="s">
        <v>11</v>
      </c>
      <c r="D47" t="s">
        <v>279</v>
      </c>
    </row>
    <row r="49" spans="1:10" x14ac:dyDescent="0.25">
      <c r="A49" s="31" t="s">
        <v>297</v>
      </c>
    </row>
    <row r="50" spans="1:10" x14ac:dyDescent="0.25">
      <c r="A50" t="s">
        <v>298</v>
      </c>
      <c r="B50">
        <v>1.1000000000000001</v>
      </c>
      <c r="C50" t="s">
        <v>10</v>
      </c>
      <c r="D50" t="s">
        <v>301</v>
      </c>
      <c r="J50" s="31"/>
    </row>
    <row r="51" spans="1:10" x14ac:dyDescent="0.25">
      <c r="A51" t="s">
        <v>299</v>
      </c>
      <c r="B51">
        <v>1.075</v>
      </c>
      <c r="C51" t="s">
        <v>10</v>
      </c>
      <c r="D51" t="s">
        <v>300</v>
      </c>
      <c r="J51" s="31"/>
    </row>
    <row r="52" spans="1:10" x14ac:dyDescent="0.25">
      <c r="A52" t="s">
        <v>304</v>
      </c>
      <c r="B52">
        <f>10*10^-6</f>
        <v>9.9999999999999991E-6</v>
      </c>
      <c r="C52" t="s">
        <v>11</v>
      </c>
      <c r="D52" t="s">
        <v>305</v>
      </c>
      <c r="J52" s="31"/>
    </row>
    <row r="54" spans="1:10" x14ac:dyDescent="0.25">
      <c r="A54" s="31" t="s">
        <v>355</v>
      </c>
    </row>
    <row r="55" spans="1:10" x14ac:dyDescent="0.25">
      <c r="A55" t="s">
        <v>356</v>
      </c>
      <c r="B55">
        <v>5</v>
      </c>
      <c r="C55" t="s">
        <v>10</v>
      </c>
      <c r="D55" t="s">
        <v>357</v>
      </c>
    </row>
    <row r="57" spans="1:10" x14ac:dyDescent="0.25">
      <c r="A57" s="31" t="s">
        <v>373</v>
      </c>
    </row>
    <row r="58" spans="1:10" x14ac:dyDescent="0.25">
      <c r="A58" t="s">
        <v>374</v>
      </c>
      <c r="B58">
        <f>3.3*(10^-6)</f>
        <v>3.2999999999999997E-6</v>
      </c>
      <c r="C58" t="s">
        <v>11</v>
      </c>
      <c r="D58" t="s">
        <v>375</v>
      </c>
    </row>
    <row r="60" spans="1:10" x14ac:dyDescent="0.25">
      <c r="A60" t="s">
        <v>409</v>
      </c>
    </row>
    <row r="61" spans="1:10" x14ac:dyDescent="0.25">
      <c r="A61" t="s">
        <v>410</v>
      </c>
      <c r="B61">
        <v>1.5</v>
      </c>
      <c r="C61" t="s">
        <v>10</v>
      </c>
      <c r="D61" t="s">
        <v>411</v>
      </c>
    </row>
    <row r="62" spans="1:10" x14ac:dyDescent="0.25">
      <c r="A62" t="s">
        <v>413</v>
      </c>
      <c r="B62">
        <v>45</v>
      </c>
      <c r="D62" t="s">
        <v>412</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P22" sqref="P22"/>
    </sheetView>
  </sheetViews>
  <sheetFormatPr baseColWidth="10" defaultColWidth="9.140625" defaultRowHeight="15" x14ac:dyDescent="0.25"/>
  <cols>
    <col min="3" max="3" width="144.85546875" customWidth="1"/>
  </cols>
  <sheetData>
    <row r="2" spans="2:2" x14ac:dyDescent="0.25">
      <c r="B2" t="str">
        <f>"Eff_vs_IOUT"</f>
        <v>Eff_vs_IOUT</v>
      </c>
    </row>
    <row r="3" spans="2:2" ht="379.7" customHeight="1"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
  <sheetViews>
    <sheetView topLeftCell="A4" workbookViewId="0">
      <selection activeCell="B7" sqref="B7"/>
    </sheetView>
  </sheetViews>
  <sheetFormatPr baseColWidth="10" defaultColWidth="9.140625" defaultRowHeight="15" x14ac:dyDescent="0.25"/>
  <cols>
    <col min="1" max="1" width="27.28515625" customWidth="1"/>
    <col min="2" max="2" width="77.140625" customWidth="1"/>
  </cols>
  <sheetData>
    <row r="1" spans="1:8" x14ac:dyDescent="0.25">
      <c r="A1" s="111" t="str">
        <f>IF('Design Converter'!H12= "SKIP", "SCH_1", IF('Design Converter'!H12 = "DEM", "SCH_2", IF('Design Converter'!H12 = "FPWM","SCH_3", "")))</f>
        <v>SCH_3</v>
      </c>
      <c r="F1" t="s">
        <v>604</v>
      </c>
      <c r="G1" t="s">
        <v>605</v>
      </c>
      <c r="H1" t="s">
        <v>606</v>
      </c>
    </row>
    <row r="2" spans="1:8" ht="214.9" customHeight="1" x14ac:dyDescent="0.25">
      <c r="B2" t="s">
        <v>603</v>
      </c>
    </row>
    <row r="5" spans="1:8" ht="214.15" customHeight="1" x14ac:dyDescent="0.25"/>
    <row r="6" spans="1:8" ht="15" customHeight="1" x14ac:dyDescent="0.25"/>
    <row r="7" spans="1:8" ht="213.6" customHeight="1" x14ac:dyDescent="0.25"/>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10242" r:id="rId4">
          <objectPr defaultSize="0" r:id="rId5">
            <anchor moveWithCells="1">
              <from>
                <xdr:col>1</xdr:col>
                <xdr:colOff>0</xdr:colOff>
                <xdr:row>1</xdr:row>
                <xdr:rowOff>0</xdr:rowOff>
              </from>
              <to>
                <xdr:col>2</xdr:col>
                <xdr:colOff>28575</xdr:colOff>
                <xdr:row>2</xdr:row>
                <xdr:rowOff>0</xdr:rowOff>
              </to>
            </anchor>
          </objectPr>
        </oleObject>
      </mc:Choice>
      <mc:Fallback>
        <oleObject progId="Visio.Drawing.15" shapeId="10242" r:id="rId4"/>
      </mc:Fallback>
    </mc:AlternateContent>
    <mc:AlternateContent xmlns:mc="http://schemas.openxmlformats.org/markup-compatibility/2006">
      <mc:Choice Requires="x14">
        <oleObject progId="Visio.Drawing.15" shapeId="10243" r:id="rId6">
          <objectPr defaultSize="0" r:id="rId7">
            <anchor moveWithCells="1">
              <from>
                <xdr:col>1</xdr:col>
                <xdr:colOff>0</xdr:colOff>
                <xdr:row>4</xdr:row>
                <xdr:rowOff>0</xdr:rowOff>
              </from>
              <to>
                <xdr:col>2</xdr:col>
                <xdr:colOff>28575</xdr:colOff>
                <xdr:row>5</xdr:row>
                <xdr:rowOff>9525</xdr:rowOff>
              </to>
            </anchor>
          </objectPr>
        </oleObject>
      </mc:Choice>
      <mc:Fallback>
        <oleObject progId="Visio.Drawing.15" shapeId="10243" r:id="rId6"/>
      </mc:Fallback>
    </mc:AlternateContent>
    <mc:AlternateContent xmlns:mc="http://schemas.openxmlformats.org/markup-compatibility/2006">
      <mc:Choice Requires="x14">
        <oleObject progId="Visio.Drawing.15" shapeId="10246" r:id="rId8">
          <objectPr defaultSize="0" r:id="rId9">
            <anchor moveWithCells="1">
              <from>
                <xdr:col>1</xdr:col>
                <xdr:colOff>0</xdr:colOff>
                <xdr:row>6</xdr:row>
                <xdr:rowOff>0</xdr:rowOff>
              </from>
              <to>
                <xdr:col>2</xdr:col>
                <xdr:colOff>28575</xdr:colOff>
                <xdr:row>7</xdr:row>
                <xdr:rowOff>9525</xdr:rowOff>
              </to>
            </anchor>
          </objectPr>
        </oleObject>
      </mc:Choice>
      <mc:Fallback>
        <oleObject progId="Visio.Drawing.15" shapeId="10246" r:id="rId8"/>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F5"/>
  <sheetViews>
    <sheetView workbookViewId="0">
      <selection activeCell="F3" sqref="F3"/>
    </sheetView>
  </sheetViews>
  <sheetFormatPr baseColWidth="10" defaultColWidth="9.140625" defaultRowHeight="15" x14ac:dyDescent="0.25"/>
  <sheetData>
    <row r="2" spans="1:6" x14ac:dyDescent="0.25">
      <c r="A2" t="s">
        <v>389</v>
      </c>
    </row>
    <row r="3" spans="1:6" x14ac:dyDescent="0.25">
      <c r="B3">
        <f>VIN_min</f>
        <v>11</v>
      </c>
      <c r="F3" t="str">
        <f>"SKIP"</f>
        <v>SKIP</v>
      </c>
    </row>
    <row r="4" spans="1:6" x14ac:dyDescent="0.25">
      <c r="B4">
        <f>VIN_nom</f>
        <v>11</v>
      </c>
      <c r="D4">
        <v>2.5</v>
      </c>
      <c r="F4" t="str">
        <f>"DEM"</f>
        <v>DEM</v>
      </c>
    </row>
    <row r="5" spans="1:6" x14ac:dyDescent="0.25">
      <c r="B5">
        <f>VIN_max</f>
        <v>22</v>
      </c>
      <c r="F5" t="str">
        <f>"FPWM"</f>
        <v>FPWM</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155</vt:i4>
      </vt:variant>
    </vt:vector>
  </HeadingPairs>
  <TitlesOfParts>
    <vt:vector size="164"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DC_rip</vt:lpstr>
      <vt:lpstr>Dc_rip_max</vt:lpstr>
      <vt:lpstr>Dc_VIN_max</vt:lpstr>
      <vt:lpstr>Dc_VIN_min</vt:lpstr>
      <vt:lpstr>Dc_VIN_nom</vt:lpstr>
      <vt:lpstr>DC_VIN_var_DCM</vt:lpstr>
      <vt:lpstr>'Design Converter'!Druckbereich</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IOUT_VAR</vt:lpstr>
      <vt:lpstr>Ipk_margin</vt:lpstr>
      <vt:lpstr>Ipk_selected</vt:lpstr>
      <vt:lpstr>IQ</vt:lpstr>
      <vt:lpstr>IRMS_COUT</vt:lpstr>
      <vt:lpstr>Isl</vt:lpstr>
      <vt:lpstr>Iss</vt:lpstr>
      <vt:lpstr>Kd</vt:lpstr>
      <vt:lpstr>Kd_VINmin</vt:lpstr>
      <vt:lpstr>Kex</vt:lpstr>
      <vt:lpstr>Kex_VINmin</vt:lpstr>
      <vt:lpstr>Kfb</vt:lpstr>
      <vt:lpstr>Kfb_high</vt:lpstr>
      <vt:lpstr>Kfb_low</vt:lpstr>
      <vt:lpstr>Km</vt:lpstr>
      <vt:lpstr>Km_VINmin</vt:lpstr>
      <vt:lpstr>Lm</vt:lpstr>
      <vt:lpstr>Lopt_2</vt:lpstr>
      <vt:lpstr>M_L_DCM</vt:lpstr>
      <vt:lpstr>Np</vt:lpstr>
      <vt:lpstr>POUT</vt:lpstr>
      <vt:lpstr>Q</vt:lpstr>
      <vt:lpstr>Q_VINmin</vt:lpstr>
      <vt:lpstr>Qg_tot</vt:lpstr>
      <vt:lpstr>Qg_tot_HS</vt:lpstr>
      <vt:lpstr>Qgd</vt:lpstr>
      <vt:lpstr>Qgs</vt:lpstr>
      <vt:lpstr>Qrr</vt:lpstr>
      <vt:lpstr>R_cs</vt:lpstr>
      <vt:lpstr>R_sl</vt:lpstr>
      <vt:lpstr>RCOMP</vt:lpstr>
      <vt:lpstr>RCOMP_Calc</vt:lpstr>
      <vt:lpstr>Rcomp_calc_CCM</vt:lpstr>
      <vt:lpstr>RCOMP_CALC_DCM</vt:lpstr>
      <vt:lpstr>Rcs_max</vt:lpstr>
      <vt:lpstr>Rcs_wo_sl</vt:lpstr>
      <vt:lpstr>Rdcr</vt:lpstr>
      <vt:lpstr>RDS_on</vt:lpstr>
      <vt:lpstr>RDS_on_HS</vt:lpstr>
      <vt:lpstr>Resr</vt:lpstr>
      <vt:lpstr>RFBB</vt:lpstr>
      <vt:lpstr>RFBB_calc</vt:lpstr>
      <vt:lpstr>RFBT</vt:lpstr>
      <vt:lpstr>Rgate</vt:lpstr>
      <vt:lpstr>Rmax</vt:lpstr>
      <vt:lpstr>Rmax_high</vt:lpstr>
      <vt:lpstr>Rmax_low</vt:lpstr>
      <vt:lpstr>Rmin</vt:lpstr>
      <vt:lpstr>Rmin_high</vt:lpstr>
      <vt:lpstr>Rmin_low</vt:lpstr>
      <vt:lpstr>ROUT</vt:lpstr>
      <vt:lpstr>Rsl_int</vt:lpstr>
      <vt:lpstr>RT</vt:lpstr>
      <vt:lpstr>Ruvlo_bottom_calc</vt:lpstr>
      <vt:lpstr>Ruvlo_top</vt:lpstr>
      <vt:lpstr>Ruvlo_top_calc</vt:lpstr>
      <vt:lpstr>SCH_1</vt:lpstr>
      <vt:lpstr>SCH_2</vt:lpstr>
      <vt:lpstr>SCH_3</vt:lpstr>
      <vt:lpstr>Se_VINmin</vt:lpstr>
      <vt:lpstr>Sn_VINmin</vt:lpstr>
      <vt:lpstr>t_dead</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VIN_op_min</vt:lpstr>
      <vt:lpstr>VIN_var</vt:lpstr>
      <vt:lpstr>VOUT</vt:lpstr>
      <vt:lpstr>VOUT_range</vt:lpstr>
      <vt:lpstr>Vout_rip_sel</vt:lpstr>
      <vt:lpstr>Vref</vt:lpstr>
      <vt:lpstr>Vsl</vt:lpstr>
      <vt:lpstr>Vth</vt:lpstr>
      <vt:lpstr>VTRK</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Alex Kharitonov</cp:lastModifiedBy>
  <cp:lastPrinted>2018-08-09T07:13:51Z</cp:lastPrinted>
  <dcterms:created xsi:type="dcterms:W3CDTF">2018-06-26T09:13:29Z</dcterms:created>
  <dcterms:modified xsi:type="dcterms:W3CDTF">2024-08-11T11:34:18Z</dcterms:modified>
</cp:coreProperties>
</file>