
<file path=[Content_Types].xml><?xml version="1.0" encoding="utf-8"?>
<Types xmlns="http://schemas.openxmlformats.org/package/2006/content-types">
  <Default Extension="bin" ContentType="application/vnd.openxmlformats-officedocument.spreadsheetml.printerSettings"/>
  <Default Extension="vsd" ContentType="application/vnd.visio"/>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00"/>
  <workbookPr defaultThemeVersion="124226"/>
  <mc:AlternateContent xmlns:mc="http://schemas.openxmlformats.org/markup-compatibility/2006">
    <mc:Choice Requires="x15">
      <x15ac:absPath xmlns:x15ac="http://schemas.microsoft.com/office/spreadsheetml/2010/11/ac" url="C:\SPSP\TPS\TPS552892\Calculation tool\"/>
    </mc:Choice>
  </mc:AlternateContent>
  <xr:revisionPtr revIDLastSave="0" documentId="13_ncr:1_{C501652D-4866-4501-B204-D152CD77065B}" xr6:coauthVersionLast="36" xr6:coauthVersionMax="36" xr10:uidLastSave="{00000000-0000-0000-0000-000000000000}"/>
  <workbookProtection workbookAlgorithmName="SHA-512" workbookHashValue="WSaJhr55ObKksakSdGGLskb+jMCKT8LlkYqsCI4Fm2X8nBMcOaDdHXv6FcJ20fT7EuEobV26LO6PC7AR3zsfXQ==" workbookSaltValue="FVRDyD+8FLoR9EeS2JVFLA==" workbookSpinCount="100000" lockStructure="1"/>
  <bookViews>
    <workbookView xWindow="2700" yWindow="2712" windowWidth="9720" windowHeight="7800" tabRatio="522" xr2:uid="{00000000-000D-0000-FFFF-FFFF00000000}"/>
  </bookViews>
  <sheets>
    <sheet name="Design Calculation" sheetId="1" r:id="rId1"/>
    <sheet name="Frequency Response Calculation" sheetId="2" state="hidden" r:id="rId2"/>
    <sheet name="LegalDisclaimer" sheetId="3" r:id="rId3"/>
  </sheets>
  <definedNames>
    <definedName name="BST_HS_dead_time">'Design Calculation'!$C$97</definedName>
    <definedName name="BST_HS_Rdson">'Design Calculation'!$C$96</definedName>
    <definedName name="BST_HS_Vd">'Design Calculation'!$C$98</definedName>
    <definedName name="BST_LS_fall_time">'Design Calculation'!$C$94</definedName>
    <definedName name="BST_LS_Rdson">'Design Calculation'!$C$93</definedName>
    <definedName name="BST_LS_rise_time">'Design Calculation'!$C$95</definedName>
    <definedName name="BUCK_HS_Coss">'Design Calculation'!$C$85</definedName>
    <definedName name="BUCK_HS_fall_time">'Design Calculation'!$C$87</definedName>
    <definedName name="BUCK_HS_Qg">'Design Calculation'!$C$84</definedName>
    <definedName name="BUCK_HS_Rdson">'Design Calculation'!$C$83</definedName>
    <definedName name="BUCK_HS_rise_time">'Design Calculation'!$C$86</definedName>
    <definedName name="BUCK_LS_dead_time">'Design Calculation'!$C$91</definedName>
    <definedName name="BUCK_LS_deadtime">'Design Calculation'!$C$91</definedName>
    <definedName name="BUCK_LS_Qg">'Design Calculation'!$C$89</definedName>
    <definedName name="BUCK_LS_Qrr">'Design Calculation'!$C$90</definedName>
    <definedName name="BUCK_LS_Rdson">'Design Calculation'!$C$88</definedName>
    <definedName name="BUCK_LS_Vd">'Design Calculation'!$C$92</definedName>
    <definedName name="C_bst_snubber">'Design Calculation'!$C$100</definedName>
    <definedName name="C_buck_snubber">'Design Calculation'!$C$99</definedName>
    <definedName name="C_ca">'Frequency Response Calculation'!$AG$5</definedName>
    <definedName name="Ccomp">'Design Calculation'!$C$72</definedName>
    <definedName name="Cout_c">'Design Calculation'!$C$34</definedName>
    <definedName name="Cout_e">'Design Calculation'!$C$36</definedName>
    <definedName name="Cp">'Design Calculation'!$C$75</definedName>
    <definedName name="DCR">'Design Calculation'!$C$82</definedName>
    <definedName name="dVinpkpk">'Design Calculation'!$C$40</definedName>
    <definedName name="dVoutpkpk">'Design Calculation'!$C$32</definedName>
    <definedName name="eff">'Design Calculation'!$C$46</definedName>
    <definedName name="ESR">'Design Calculation'!$C$38</definedName>
    <definedName name="fco">'Design Calculation'!$C$67</definedName>
    <definedName name="fp">'Design Calculation'!$C$64</definedName>
    <definedName name="fp_comp2">'Design Calculation'!$C$76</definedName>
    <definedName name="fsw">'Design Calculation'!$C$28</definedName>
    <definedName name="fz_comp">'Design Calculation'!$C$73</definedName>
    <definedName name="fz_ESR">'Design Calculation'!$C$66</definedName>
    <definedName name="fzRHP">'Design Calculation'!$C$65</definedName>
    <definedName name="gm_ca">'Frequency Response Calculation'!$AG$3</definedName>
    <definedName name="gm_EA">'Design Calculation'!$C$68</definedName>
    <definedName name="gm_PS">'Design Calculation'!$C$63</definedName>
    <definedName name="Iavg_limit">'Design Calculation'!$C$56</definedName>
    <definedName name="ILpeak">'Design Calculation'!$C$80</definedName>
    <definedName name="ILpeak_max">'Design Calculation'!$C$53</definedName>
    <definedName name="ILrms">'Design Calculation'!$C$79</definedName>
    <definedName name="ILrms_max">'Design Calculation'!$C$52</definedName>
    <definedName name="ILvalley">'Design Calculation'!$C$81</definedName>
    <definedName name="ILvalley_max">'Design Calculation'!$C$55</definedName>
    <definedName name="Iout_limit">'Design Calculation'!$C$24</definedName>
    <definedName name="Ioutmax">'Design Calculation'!$C$17</definedName>
    <definedName name="K">'Design Calculation'!$C$48</definedName>
    <definedName name="L">'Design Calculation'!$C$51</definedName>
    <definedName name="Op_mode">'Design Calculation'!$C$62</definedName>
    <definedName name="R_1">'Design Calculation'!$C$25</definedName>
    <definedName name="R_5">'Design Calculation'!$C$22</definedName>
    <definedName name="R_7">'Design Calculation'!$C$22</definedName>
    <definedName name="R_ca">'Frequency Response Calculation'!$AG$4</definedName>
    <definedName name="Rcomp">'Design Calculation'!$C$70</definedName>
    <definedName name="Reg_Ilimit">'Design Calculation'!#REF!</definedName>
    <definedName name="Reg_Vref">'Design Calculation'!#REF!</definedName>
    <definedName name="Rpcb">'Design Calculation'!$C$101</definedName>
    <definedName name="tou">'Design Calculation'!$F$108</definedName>
    <definedName name="V_m">'Frequency Response Calculation'!$AG$6</definedName>
    <definedName name="Vin">'Design Calculation'!$C$60</definedName>
    <definedName name="Vin_eff">'Design Calculation'!$C$78</definedName>
    <definedName name="Vin_LP">'Design Calculation'!$C$60</definedName>
    <definedName name="Vin_max">'Design Calculation'!$C$15</definedName>
    <definedName name="Vin_min">'Design Calculation'!$C$14</definedName>
    <definedName name="Vout">'Design Calculation'!$C$16</definedName>
    <definedName name="Vout_LP">'Design Calculation'!$C$61</definedName>
  </definedNames>
  <calcPr calcId="191029" iterate="1"/>
  <customWorkbookViews>
    <customWorkbookView name="TI User - Personal View" guid="{0F8159A6-236F-4F54-A569-A835A6AD5DA8}" mergeInterval="0" personalView="1" maximized="1" windowWidth="1920" windowHeight="803" activeSheetId="1"/>
  </customWorkbookViews>
</workbook>
</file>

<file path=xl/calcChain.xml><?xml version="1.0" encoding="utf-8"?>
<calcChain xmlns="http://schemas.openxmlformats.org/spreadsheetml/2006/main">
  <c r="C61" i="1" l="1"/>
  <c r="C25" i="1"/>
  <c r="C23" i="1" l="1"/>
  <c r="C21" i="1"/>
  <c r="C29" i="1" l="1"/>
  <c r="C19" i="1"/>
  <c r="C71" i="1" l="1"/>
  <c r="F108" i="1" l="1"/>
  <c r="C76" i="1" l="1"/>
  <c r="C81" i="1" l="1"/>
  <c r="C79" i="1"/>
  <c r="C55" i="1"/>
  <c r="C53" i="1"/>
  <c r="C54" i="1" s="1"/>
  <c r="C63" i="1" l="1"/>
  <c r="C42" i="1" l="1"/>
  <c r="C80" i="1"/>
  <c r="C105" i="1" s="1"/>
  <c r="H108" i="1" l="1"/>
  <c r="G108" i="1"/>
  <c r="C107" i="1"/>
  <c r="C106" i="1"/>
  <c r="C50" i="1"/>
  <c r="C52" i="1"/>
  <c r="C62" i="1"/>
  <c r="AG6" i="2"/>
  <c r="C66" i="1"/>
  <c r="C73" i="1"/>
  <c r="N6" i="2" s="1"/>
  <c r="I18" i="2"/>
  <c r="J29" i="2"/>
  <c r="R12" i="2"/>
  <c r="Q19" i="2"/>
  <c r="Q35" i="2"/>
  <c r="X18" i="2"/>
  <c r="Z24" i="2"/>
  <c r="Z40" i="2"/>
  <c r="C27" i="1"/>
  <c r="C26" i="1"/>
  <c r="T34" i="2"/>
  <c r="T35" i="2"/>
  <c r="T36" i="2"/>
  <c r="T37" i="2"/>
  <c r="T38" i="2"/>
  <c r="T11" i="2"/>
  <c r="T12" i="2"/>
  <c r="T17" i="2"/>
  <c r="T18" i="2"/>
  <c r="T19" i="2"/>
  <c r="T23" i="2"/>
  <c r="T24" i="2"/>
  <c r="T28" i="2"/>
  <c r="T5" i="2"/>
  <c r="T6" i="2"/>
  <c r="T3" i="2"/>
  <c r="S23" i="2"/>
  <c r="S24" i="2"/>
  <c r="S29" i="2"/>
  <c r="S30" i="2"/>
  <c r="S33" i="2"/>
  <c r="S34" i="2"/>
  <c r="S39" i="2"/>
  <c r="S40" i="2"/>
  <c r="S6" i="2"/>
  <c r="S7" i="2"/>
  <c r="S8" i="2"/>
  <c r="S17" i="2"/>
  <c r="S18" i="2"/>
  <c r="S22" i="2"/>
  <c r="B43" i="2"/>
  <c r="B42" i="2"/>
  <c r="S42" i="2" s="1"/>
  <c r="B41" i="2"/>
  <c r="B40" i="2"/>
  <c r="J40" i="2" s="1"/>
  <c r="B39" i="2"/>
  <c r="J39" i="2" s="1"/>
  <c r="B38" i="2"/>
  <c r="H38" i="2" s="1"/>
  <c r="O38" i="2"/>
  <c r="B37" i="2"/>
  <c r="O37" i="2"/>
  <c r="B36" i="2"/>
  <c r="B35" i="2"/>
  <c r="I35" i="2" s="1"/>
  <c r="B34" i="2"/>
  <c r="Q34" i="2" s="1"/>
  <c r="B33" i="2"/>
  <c r="T33" i="2" s="1"/>
  <c r="B32" i="2"/>
  <c r="B31" i="2"/>
  <c r="O31" i="2" s="1"/>
  <c r="B30" i="2"/>
  <c r="P30" i="2"/>
  <c r="B29" i="2"/>
  <c r="R29" i="2" s="1"/>
  <c r="P29" i="2"/>
  <c r="B28" i="2"/>
  <c r="Q28" i="2" s="1"/>
  <c r="P28" i="2"/>
  <c r="B27" i="2"/>
  <c r="T27" i="2" s="1"/>
  <c r="B26" i="2"/>
  <c r="S26" i="2" s="1"/>
  <c r="B25" i="2"/>
  <c r="T25" i="2" s="1"/>
  <c r="P25" i="2"/>
  <c r="B24" i="2"/>
  <c r="Y24" i="2" s="1"/>
  <c r="B23" i="2"/>
  <c r="J23" i="2" s="1"/>
  <c r="B22" i="2"/>
  <c r="J22" i="2" s="1"/>
  <c r="O22" i="2"/>
  <c r="B21" i="2"/>
  <c r="O21" i="2"/>
  <c r="B20" i="2"/>
  <c r="T20" i="2" s="1"/>
  <c r="O20" i="2"/>
  <c r="B19" i="2"/>
  <c r="R19" i="2" s="1"/>
  <c r="B18" i="2"/>
  <c r="Y18" i="2" s="1"/>
  <c r="B17" i="2"/>
  <c r="Z17" i="2" s="1"/>
  <c r="B16" i="2"/>
  <c r="S16" i="2" s="1"/>
  <c r="B15" i="2"/>
  <c r="B14" i="2"/>
  <c r="P14" i="2" s="1"/>
  <c r="B13" i="2"/>
  <c r="P13" i="2"/>
  <c r="B12" i="2"/>
  <c r="J12" i="2" s="1"/>
  <c r="P12" i="2"/>
  <c r="B11" i="2"/>
  <c r="R11" i="2" s="1"/>
  <c r="B10" i="2"/>
  <c r="B9" i="2"/>
  <c r="P9" i="2"/>
  <c r="B8" i="2"/>
  <c r="B7" i="2"/>
  <c r="B6" i="2"/>
  <c r="J6" i="2" s="1"/>
  <c r="O6" i="2"/>
  <c r="B5" i="2"/>
  <c r="R5" i="2" s="1"/>
  <c r="O5" i="2"/>
  <c r="B4" i="2"/>
  <c r="B3" i="2"/>
  <c r="P3" i="2"/>
  <c r="O35" i="2"/>
  <c r="O19" i="2"/>
  <c r="O41" i="2"/>
  <c r="O25" i="2"/>
  <c r="O9" i="2"/>
  <c r="P34" i="2"/>
  <c r="P18" i="2"/>
  <c r="P40" i="2"/>
  <c r="P24" i="2"/>
  <c r="P8" i="2"/>
  <c r="O18" i="2"/>
  <c r="P11" i="2"/>
  <c r="O3" i="2"/>
  <c r="O28" i="2"/>
  <c r="O12" i="2"/>
  <c r="P5" i="2"/>
  <c r="O27" i="2"/>
  <c r="O11" i="2"/>
  <c r="P36" i="2"/>
  <c r="P20" i="2"/>
  <c r="P39" i="2"/>
  <c r="P23" i="2"/>
  <c r="P7" i="2"/>
  <c r="O33" i="2"/>
  <c r="O17" i="2"/>
  <c r="O40" i="2"/>
  <c r="O24" i="2"/>
  <c r="O8" i="2"/>
  <c r="P17" i="2"/>
  <c r="O39" i="2"/>
  <c r="O23" i="2"/>
  <c r="P16" i="2"/>
  <c r="O42" i="2"/>
  <c r="P35" i="2"/>
  <c r="P19" i="2"/>
  <c r="O29" i="2"/>
  <c r="O13" i="2"/>
  <c r="P38" i="2"/>
  <c r="P22" i="2"/>
  <c r="P6" i="2"/>
  <c r="H19" i="2"/>
  <c r="H39" i="2"/>
  <c r="H18" i="2"/>
  <c r="H8" i="2"/>
  <c r="H22" i="2"/>
  <c r="H6" i="2"/>
  <c r="H17" i="2"/>
  <c r="H30" i="2"/>
  <c r="H41" i="2"/>
  <c r="H33" i="2"/>
  <c r="H28" i="2"/>
  <c r="C58" i="1"/>
  <c r="C31" i="1"/>
  <c r="C69" i="1" l="1"/>
  <c r="N3" i="2"/>
  <c r="H31" i="2"/>
  <c r="K15" i="2"/>
  <c r="L15" i="2"/>
  <c r="Y15" i="2"/>
  <c r="Z15" i="2"/>
  <c r="T15" i="2"/>
  <c r="J15" i="2"/>
  <c r="R15" i="2"/>
  <c r="Q15" i="2"/>
  <c r="I15" i="2"/>
  <c r="X15" i="2"/>
  <c r="L32" i="2"/>
  <c r="K32" i="2"/>
  <c r="I32" i="2"/>
  <c r="X32" i="2"/>
  <c r="P32" i="2"/>
  <c r="Y32" i="2"/>
  <c r="O32" i="2"/>
  <c r="Z32" i="2"/>
  <c r="J32" i="2"/>
  <c r="R32" i="2"/>
  <c r="Q32" i="2"/>
  <c r="K10" i="2"/>
  <c r="L10" i="2"/>
  <c r="R10" i="2"/>
  <c r="I10" i="2"/>
  <c r="Q10" i="2"/>
  <c r="P10" i="2"/>
  <c r="X10" i="2"/>
  <c r="Y10" i="2"/>
  <c r="Z10" i="2"/>
  <c r="J10" i="2"/>
  <c r="S32" i="2"/>
  <c r="T26" i="2"/>
  <c r="T16" i="2"/>
  <c r="P15" i="2"/>
  <c r="S31" i="2"/>
  <c r="L4" i="2"/>
  <c r="K4" i="2"/>
  <c r="P4" i="2"/>
  <c r="J4" i="2"/>
  <c r="S4" i="2"/>
  <c r="H4" i="2"/>
  <c r="R4" i="2"/>
  <c r="Q4" i="2"/>
  <c r="X4" i="2"/>
  <c r="I4" i="2"/>
  <c r="Y4" i="2"/>
  <c r="Z4" i="2"/>
  <c r="N26" i="2"/>
  <c r="L36" i="2"/>
  <c r="K36" i="2"/>
  <c r="O36" i="2"/>
  <c r="R36" i="2"/>
  <c r="J36" i="2"/>
  <c r="S36" i="2"/>
  <c r="H36" i="2"/>
  <c r="Q36" i="2"/>
  <c r="I36" i="2"/>
  <c r="X36" i="2"/>
  <c r="Y36" i="2"/>
  <c r="Z36" i="2"/>
  <c r="L42" i="2"/>
  <c r="K42" i="2"/>
  <c r="R42" i="2"/>
  <c r="I42" i="2"/>
  <c r="Q42" i="2"/>
  <c r="X42" i="2"/>
  <c r="Y42" i="2"/>
  <c r="Z42" i="2"/>
  <c r="P42" i="2"/>
  <c r="J42" i="2"/>
  <c r="S14" i="2"/>
  <c r="T4" i="2"/>
  <c r="T10" i="2"/>
  <c r="O4" i="2"/>
  <c r="K9" i="2"/>
  <c r="L9" i="2"/>
  <c r="Q9" i="2"/>
  <c r="I9" i="2"/>
  <c r="X9" i="2"/>
  <c r="Y9" i="2"/>
  <c r="T9" i="2"/>
  <c r="Z9" i="2"/>
  <c r="J9" i="2"/>
  <c r="R9" i="2"/>
  <c r="L27" i="2"/>
  <c r="K27" i="2"/>
  <c r="J27" i="2"/>
  <c r="S27" i="2"/>
  <c r="R27" i="2"/>
  <c r="N27" i="2"/>
  <c r="Q27" i="2"/>
  <c r="I27" i="2"/>
  <c r="X27" i="2"/>
  <c r="Y27" i="2"/>
  <c r="Z27" i="2"/>
  <c r="L16" i="2"/>
  <c r="K16" i="2"/>
  <c r="I16" i="2"/>
  <c r="X16" i="2"/>
  <c r="O16" i="2"/>
  <c r="Y16" i="2"/>
  <c r="Z16" i="2"/>
  <c r="J16" i="2"/>
  <c r="R16" i="2"/>
  <c r="Q16" i="2"/>
  <c r="P33" i="2"/>
  <c r="O15" i="2"/>
  <c r="K41" i="2"/>
  <c r="L41" i="2"/>
  <c r="Q41" i="2"/>
  <c r="P41" i="2"/>
  <c r="I41" i="2"/>
  <c r="X41" i="2"/>
  <c r="Y41" i="2"/>
  <c r="T41" i="2"/>
  <c r="Z41" i="2"/>
  <c r="J41" i="2"/>
  <c r="R41" i="2"/>
  <c r="S15" i="2"/>
  <c r="S41" i="2"/>
  <c r="O10" i="2"/>
  <c r="O26" i="2"/>
  <c r="K7" i="2"/>
  <c r="L7" i="2"/>
  <c r="Y7" i="2"/>
  <c r="T7" i="2"/>
  <c r="Z7" i="2"/>
  <c r="O7" i="2"/>
  <c r="H7" i="2"/>
  <c r="J7" i="2"/>
  <c r="R7" i="2"/>
  <c r="Q7" i="2"/>
  <c r="I7" i="2"/>
  <c r="X7" i="2"/>
  <c r="L43" i="2"/>
  <c r="K43" i="2"/>
  <c r="J43" i="2"/>
  <c r="S43" i="2"/>
  <c r="Q43" i="2"/>
  <c r="R43" i="2"/>
  <c r="O43" i="2"/>
  <c r="P43" i="2"/>
  <c r="I43" i="2"/>
  <c r="X43" i="2"/>
  <c r="Y43" i="2"/>
  <c r="Z43" i="2"/>
  <c r="S10" i="2"/>
  <c r="T43" i="2"/>
  <c r="L14" i="2"/>
  <c r="K14" i="2"/>
  <c r="Z14" i="2"/>
  <c r="T14" i="2"/>
  <c r="O14" i="2"/>
  <c r="J14" i="2"/>
  <c r="R14" i="2"/>
  <c r="Q14" i="2"/>
  <c r="I14" i="2"/>
  <c r="X14" i="2"/>
  <c r="Y14" i="2"/>
  <c r="K26" i="2"/>
  <c r="L26" i="2"/>
  <c r="R26" i="2"/>
  <c r="P26" i="2"/>
  <c r="I26" i="2"/>
  <c r="Q26" i="2"/>
  <c r="X26" i="2"/>
  <c r="Y26" i="2"/>
  <c r="Z26" i="2"/>
  <c r="J26" i="2"/>
  <c r="K31" i="2"/>
  <c r="L31" i="2"/>
  <c r="Y31" i="2"/>
  <c r="Z31" i="2"/>
  <c r="T31" i="2"/>
  <c r="P31" i="2"/>
  <c r="J31" i="2"/>
  <c r="R31" i="2"/>
  <c r="Q31" i="2"/>
  <c r="I31" i="2"/>
  <c r="X31" i="2"/>
  <c r="K21" i="2"/>
  <c r="L21" i="2"/>
  <c r="T21" i="2"/>
  <c r="J21" i="2"/>
  <c r="S21" i="2"/>
  <c r="P21" i="2"/>
  <c r="R21" i="2"/>
  <c r="Q21" i="2"/>
  <c r="I21" i="2"/>
  <c r="X21" i="2"/>
  <c r="Y21" i="2"/>
  <c r="Z21" i="2"/>
  <c r="L38" i="2"/>
  <c r="K38" i="2"/>
  <c r="Z38" i="2"/>
  <c r="J38" i="2"/>
  <c r="R38" i="2"/>
  <c r="Q38" i="2"/>
  <c r="I38" i="2"/>
  <c r="X38" i="2"/>
  <c r="Y38" i="2"/>
  <c r="L33" i="2"/>
  <c r="K33" i="2"/>
  <c r="Q33" i="2"/>
  <c r="I33" i="2"/>
  <c r="X33" i="2"/>
  <c r="Y33" i="2"/>
  <c r="Z33" i="2"/>
  <c r="J33" i="2"/>
  <c r="R33" i="2"/>
  <c r="H9" i="2"/>
  <c r="N14" i="2"/>
  <c r="P27" i="2"/>
  <c r="K3" i="2"/>
  <c r="L3" i="2"/>
  <c r="H3" i="2"/>
  <c r="J3" i="2"/>
  <c r="R3" i="2"/>
  <c r="Q3" i="2"/>
  <c r="X3" i="2"/>
  <c r="Y3" i="2"/>
  <c r="I3" i="2"/>
  <c r="Z3" i="2"/>
  <c r="K8" i="2"/>
  <c r="L8" i="2"/>
  <c r="I8" i="2"/>
  <c r="X8" i="2"/>
  <c r="Y8" i="2"/>
  <c r="T8" i="2"/>
  <c r="Z8" i="2"/>
  <c r="J8" i="2"/>
  <c r="R8" i="2"/>
  <c r="Q8" i="2"/>
  <c r="L13" i="2"/>
  <c r="K13" i="2"/>
  <c r="T13" i="2"/>
  <c r="J13" i="2"/>
  <c r="S13" i="2"/>
  <c r="R13" i="2"/>
  <c r="Q13" i="2"/>
  <c r="I13" i="2"/>
  <c r="X13" i="2"/>
  <c r="Y13" i="2"/>
  <c r="Z13" i="2"/>
  <c r="L20" i="2"/>
  <c r="K20" i="2"/>
  <c r="H20" i="2"/>
  <c r="R20" i="2"/>
  <c r="J20" i="2"/>
  <c r="S20" i="2"/>
  <c r="Q20" i="2"/>
  <c r="I20" i="2"/>
  <c r="X20" i="2"/>
  <c r="Y20" i="2"/>
  <c r="Z20" i="2"/>
  <c r="K25" i="2"/>
  <c r="L25" i="2"/>
  <c r="Q25" i="2"/>
  <c r="H25" i="2"/>
  <c r="Y25" i="2"/>
  <c r="I25" i="2"/>
  <c r="X25" i="2"/>
  <c r="Z25" i="2"/>
  <c r="J25" i="2"/>
  <c r="R25" i="2"/>
  <c r="L30" i="2"/>
  <c r="K30" i="2"/>
  <c r="Z30" i="2"/>
  <c r="T30" i="2"/>
  <c r="O30" i="2"/>
  <c r="J30" i="2"/>
  <c r="R30" i="2"/>
  <c r="Q30" i="2"/>
  <c r="I30" i="2"/>
  <c r="X30" i="2"/>
  <c r="Y30" i="2"/>
  <c r="K37" i="2"/>
  <c r="L37" i="2"/>
  <c r="S37" i="2"/>
  <c r="P37" i="2"/>
  <c r="J37" i="2"/>
  <c r="R37" i="2"/>
  <c r="Q37" i="2"/>
  <c r="I37" i="2"/>
  <c r="X37" i="2"/>
  <c r="Y37" i="2"/>
  <c r="Z37" i="2"/>
  <c r="S3" i="2"/>
  <c r="S9" i="2"/>
  <c r="S38" i="2"/>
  <c r="S25" i="2"/>
  <c r="T32" i="2"/>
  <c r="T42" i="2"/>
  <c r="Z29" i="2"/>
  <c r="Z5" i="2"/>
  <c r="Y22" i="2"/>
  <c r="Y6" i="2"/>
  <c r="X39" i="2"/>
  <c r="X23" i="2"/>
  <c r="Q40" i="2"/>
  <c r="Q24" i="2"/>
  <c r="R17" i="2"/>
  <c r="J34" i="2"/>
  <c r="J18" i="2"/>
  <c r="I39" i="2"/>
  <c r="I23" i="2"/>
  <c r="Z28" i="2"/>
  <c r="Z12" i="2"/>
  <c r="Y29" i="2"/>
  <c r="Y5" i="2"/>
  <c r="X22" i="2"/>
  <c r="X6" i="2"/>
  <c r="Q39" i="2"/>
  <c r="Q23" i="2"/>
  <c r="R40" i="2"/>
  <c r="R24" i="2"/>
  <c r="J17" i="2"/>
  <c r="I22" i="2"/>
  <c r="M6" i="2"/>
  <c r="Z35" i="2"/>
  <c r="Z19" i="2"/>
  <c r="Z11" i="2"/>
  <c r="Y28" i="2"/>
  <c r="Y12" i="2"/>
  <c r="X29" i="2"/>
  <c r="X5" i="2"/>
  <c r="Q22" i="2"/>
  <c r="Q6" i="2"/>
  <c r="R39" i="2"/>
  <c r="R23" i="2"/>
  <c r="J24" i="2"/>
  <c r="I29" i="2"/>
  <c r="I6" i="2"/>
  <c r="Z34" i="2"/>
  <c r="Z18" i="2"/>
  <c r="Y35" i="2"/>
  <c r="Y19" i="2"/>
  <c r="Y11" i="2"/>
  <c r="X28" i="2"/>
  <c r="X12" i="2"/>
  <c r="Q29" i="2"/>
  <c r="Q5" i="2"/>
  <c r="R22" i="2"/>
  <c r="R6" i="2"/>
  <c r="I5" i="2"/>
  <c r="I28" i="2"/>
  <c r="I12" i="2"/>
  <c r="G6" i="2"/>
  <c r="Y34" i="2"/>
  <c r="X35" i="2"/>
  <c r="X19" i="2"/>
  <c r="X11" i="2"/>
  <c r="Q12" i="2"/>
  <c r="I19" i="2"/>
  <c r="I11" i="2"/>
  <c r="L5" i="2"/>
  <c r="K5" i="2"/>
  <c r="L17" i="2"/>
  <c r="K17" i="2"/>
  <c r="K22" i="2"/>
  <c r="L22" i="2"/>
  <c r="L28" i="2"/>
  <c r="K28" i="2"/>
  <c r="L39" i="2"/>
  <c r="K39" i="2"/>
  <c r="S5" i="2"/>
  <c r="Y17" i="2"/>
  <c r="X34" i="2"/>
  <c r="R28" i="2"/>
  <c r="L18" i="2"/>
  <c r="K18" i="2"/>
  <c r="L23" i="2"/>
  <c r="K23" i="2"/>
  <c r="L35" i="2"/>
  <c r="K35" i="2"/>
  <c r="L40" i="2"/>
  <c r="K40" i="2"/>
  <c r="S12" i="2"/>
  <c r="S28" i="2"/>
  <c r="T22" i="2"/>
  <c r="T40" i="2"/>
  <c r="Z39" i="2"/>
  <c r="Z23" i="2"/>
  <c r="Y40" i="2"/>
  <c r="X17" i="2"/>
  <c r="Q18" i="2"/>
  <c r="R35" i="2"/>
  <c r="J28" i="2"/>
  <c r="I17" i="2"/>
  <c r="L11" i="2"/>
  <c r="K11" i="2"/>
  <c r="L34" i="2"/>
  <c r="K34" i="2"/>
  <c r="Q11" i="2"/>
  <c r="J5" i="2"/>
  <c r="I34" i="2"/>
  <c r="N39" i="2"/>
  <c r="H11" i="2"/>
  <c r="O34" i="2"/>
  <c r="K6" i="2"/>
  <c r="L6" i="2"/>
  <c r="K12" i="2"/>
  <c r="L12" i="2"/>
  <c r="L19" i="2"/>
  <c r="K19" i="2"/>
  <c r="L24" i="2"/>
  <c r="K24" i="2"/>
  <c r="L29" i="2"/>
  <c r="K29" i="2"/>
  <c r="S19" i="2"/>
  <c r="S11" i="2"/>
  <c r="S35" i="2"/>
  <c r="T29" i="2"/>
  <c r="T39" i="2"/>
  <c r="Z22" i="2"/>
  <c r="Z6" i="2"/>
  <c r="Y39" i="2"/>
  <c r="Y23" i="2"/>
  <c r="X40" i="2"/>
  <c r="X24" i="2"/>
  <c r="Q17" i="2"/>
  <c r="R34" i="2"/>
  <c r="R18" i="2"/>
  <c r="J35" i="2"/>
  <c r="J19" i="2"/>
  <c r="J11" i="2"/>
  <c r="I40" i="2"/>
  <c r="I24" i="2"/>
  <c r="H32" i="2"/>
  <c r="H40" i="2"/>
  <c r="H37" i="2"/>
  <c r="H5" i="2"/>
  <c r="H21" i="2"/>
  <c r="H12" i="2"/>
  <c r="H14" i="2"/>
  <c r="H16" i="2"/>
  <c r="H43" i="2"/>
  <c r="H15" i="2"/>
  <c r="G4" i="2"/>
  <c r="G43" i="2"/>
  <c r="G41" i="2"/>
  <c r="G39" i="2"/>
  <c r="G37" i="2"/>
  <c r="G35" i="2"/>
  <c r="G33" i="2"/>
  <c r="G31" i="2"/>
  <c r="G29" i="2"/>
  <c r="G27" i="2"/>
  <c r="G25" i="2"/>
  <c r="G23" i="2"/>
  <c r="G21" i="2"/>
  <c r="G19" i="2"/>
  <c r="G17" i="2"/>
  <c r="G15" i="2"/>
  <c r="G13" i="2"/>
  <c r="G11" i="2"/>
  <c r="G9" i="2"/>
  <c r="G7" i="2"/>
  <c r="H23" i="2"/>
  <c r="H24" i="2"/>
  <c r="H26" i="2"/>
  <c r="H13" i="2"/>
  <c r="H42" i="2"/>
  <c r="H27" i="2"/>
  <c r="H29" i="2"/>
  <c r="H10" i="2"/>
  <c r="H35" i="2"/>
  <c r="H34" i="2"/>
  <c r="G3" i="2"/>
  <c r="G5" i="2"/>
  <c r="G42" i="2"/>
  <c r="G40" i="2"/>
  <c r="G38" i="2"/>
  <c r="G36" i="2"/>
  <c r="G34" i="2"/>
  <c r="G32" i="2"/>
  <c r="G30" i="2"/>
  <c r="G28" i="2"/>
  <c r="G26" i="2"/>
  <c r="G24" i="2"/>
  <c r="G22" i="2"/>
  <c r="G20" i="2"/>
  <c r="G18" i="2"/>
  <c r="G16" i="2"/>
  <c r="G14" i="2"/>
  <c r="G12" i="2"/>
  <c r="G10" i="2"/>
  <c r="G8" i="2"/>
  <c r="C108" i="1"/>
  <c r="C65" i="1"/>
  <c r="C74" i="1" s="1"/>
  <c r="N43" i="2"/>
  <c r="N38" i="2"/>
  <c r="N35" i="2"/>
  <c r="N23" i="2"/>
  <c r="N8" i="2"/>
  <c r="N11" i="2"/>
  <c r="N5" i="2"/>
  <c r="N41" i="2"/>
  <c r="N42" i="2"/>
  <c r="N19" i="2"/>
  <c r="N25" i="2"/>
  <c r="N24" i="2"/>
  <c r="N28" i="2"/>
  <c r="N32" i="2"/>
  <c r="N10" i="2"/>
  <c r="N30" i="2"/>
  <c r="N31" i="2"/>
  <c r="N37" i="2"/>
  <c r="N36" i="2"/>
  <c r="N18" i="2"/>
  <c r="N7" i="2"/>
  <c r="N29" i="2"/>
  <c r="N17" i="2"/>
  <c r="N21" i="2"/>
  <c r="N20" i="2"/>
  <c r="N34" i="2"/>
  <c r="N22" i="2"/>
  <c r="N33" i="2"/>
  <c r="N40" i="2"/>
  <c r="N15" i="2"/>
  <c r="N4" i="2"/>
  <c r="N16" i="2"/>
  <c r="N12" i="2"/>
  <c r="N9" i="2"/>
  <c r="N13" i="2"/>
  <c r="M3" i="2"/>
  <c r="M4" i="2"/>
  <c r="M5"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C33" i="1"/>
  <c r="C64" i="1"/>
  <c r="F34" i="2" s="1"/>
  <c r="V19" i="2"/>
  <c r="V6" i="2"/>
  <c r="V35" i="2"/>
  <c r="C111" i="1"/>
  <c r="C103" i="1"/>
  <c r="C102" i="1"/>
  <c r="V8" i="2"/>
  <c r="V12" i="2"/>
  <c r="V16" i="2"/>
  <c r="V20" i="2"/>
  <c r="V24" i="2"/>
  <c r="V28" i="2"/>
  <c r="V32" i="2"/>
  <c r="V36" i="2"/>
  <c r="V40" i="2"/>
  <c r="V7" i="2"/>
  <c r="V3"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5" i="2"/>
  <c r="U4" i="2"/>
  <c r="U3" i="2"/>
  <c r="V9" i="2"/>
  <c r="V13" i="2"/>
  <c r="V17" i="2"/>
  <c r="V21" i="2"/>
  <c r="V25" i="2"/>
  <c r="V29" i="2"/>
  <c r="V33" i="2"/>
  <c r="V37" i="2"/>
  <c r="V41" i="2"/>
  <c r="U6" i="2"/>
  <c r="V10" i="2"/>
  <c r="V14" i="2"/>
  <c r="V18" i="2"/>
  <c r="V22" i="2"/>
  <c r="V26" i="2"/>
  <c r="V30" i="2"/>
  <c r="V34" i="2"/>
  <c r="V38" i="2"/>
  <c r="V42" i="2"/>
  <c r="V5" i="2"/>
  <c r="V4" i="2"/>
  <c r="V31" i="2"/>
  <c r="V15" i="2"/>
  <c r="V43" i="2"/>
  <c r="V27" i="2"/>
  <c r="V11" i="2"/>
  <c r="V39" i="2"/>
  <c r="V23" i="2"/>
  <c r="C109" i="1" l="1"/>
  <c r="D22" i="2"/>
  <c r="D30" i="2"/>
  <c r="D36" i="2"/>
  <c r="D11" i="2"/>
  <c r="C39" i="2"/>
  <c r="C21" i="2"/>
  <c r="D38" i="2"/>
  <c r="C4" i="2"/>
  <c r="C38" i="2"/>
  <c r="D15" i="2"/>
  <c r="C37" i="2"/>
  <c r="C14" i="2"/>
  <c r="D35" i="2"/>
  <c r="D5" i="2"/>
  <c r="C31" i="2"/>
  <c r="C13" i="2"/>
  <c r="D14" i="2"/>
  <c r="D27" i="2"/>
  <c r="C30" i="2"/>
  <c r="C7" i="2"/>
  <c r="D28" i="2"/>
  <c r="D3" i="2"/>
  <c r="D20" i="2"/>
  <c r="C22" i="2"/>
  <c r="C15" i="2"/>
  <c r="D34" i="2"/>
  <c r="AB34" i="2" s="1"/>
  <c r="AD34" i="2" s="1"/>
  <c r="C29" i="2"/>
  <c r="C3" i="2"/>
  <c r="C23" i="2"/>
  <c r="D8" i="2"/>
  <c r="D40" i="2"/>
  <c r="D26" i="2"/>
  <c r="C5" i="2"/>
  <c r="C36" i="2"/>
  <c r="C28" i="2"/>
  <c r="C20" i="2"/>
  <c r="C12" i="2"/>
  <c r="D29" i="2"/>
  <c r="D41" i="2"/>
  <c r="D37" i="2"/>
  <c r="D43" i="2"/>
  <c r="D32" i="2"/>
  <c r="D10" i="2"/>
  <c r="C43" i="2"/>
  <c r="C35" i="2"/>
  <c r="C27" i="2"/>
  <c r="C19" i="2"/>
  <c r="C11" i="2"/>
  <c r="D13" i="2"/>
  <c r="D24" i="2"/>
  <c r="D18" i="2"/>
  <c r="D23" i="2"/>
  <c r="C26" i="2"/>
  <c r="C10" i="2"/>
  <c r="C6" i="2"/>
  <c r="AA6" i="2" s="1"/>
  <c r="D9" i="2"/>
  <c r="C34" i="2"/>
  <c r="D12" i="2"/>
  <c r="D42" i="2"/>
  <c r="D7" i="2"/>
  <c r="D31" i="2"/>
  <c r="C41" i="2"/>
  <c r="C33" i="2"/>
  <c r="C25" i="2"/>
  <c r="C17" i="2"/>
  <c r="C9" i="2"/>
  <c r="D6" i="2"/>
  <c r="D4" i="2"/>
  <c r="D21" i="2"/>
  <c r="C42" i="2"/>
  <c r="C18" i="2"/>
  <c r="D16" i="2"/>
  <c r="D25" i="2"/>
  <c r="D17" i="2"/>
  <c r="D39" i="2"/>
  <c r="C40" i="2"/>
  <c r="C32" i="2"/>
  <c r="C24" i="2"/>
  <c r="C16" i="2"/>
  <c r="AA16" i="2" s="1"/>
  <c r="C8" i="2"/>
  <c r="D19" i="2"/>
  <c r="D33" i="2"/>
  <c r="F27" i="2"/>
  <c r="F17" i="2"/>
  <c r="E36" i="2"/>
  <c r="E3" i="2"/>
  <c r="F38" i="2"/>
  <c r="AB38" i="2" s="1"/>
  <c r="AD38" i="2" s="1"/>
  <c r="E23" i="2"/>
  <c r="F14" i="2"/>
  <c r="AB14" i="2" s="1"/>
  <c r="AD14" i="2" s="1"/>
  <c r="F6" i="2"/>
  <c r="E31" i="2"/>
  <c r="F24" i="2"/>
  <c r="E41" i="2"/>
  <c r="E7" i="2"/>
  <c r="F23" i="2"/>
  <c r="F39" i="2"/>
  <c r="F32" i="2"/>
  <c r="F37" i="2"/>
  <c r="F7" i="2"/>
  <c r="F20" i="2"/>
  <c r="E4" i="2"/>
  <c r="E40" i="2"/>
  <c r="E35" i="2"/>
  <c r="E28" i="2"/>
  <c r="E21" i="2"/>
  <c r="E6" i="2"/>
  <c r="F12" i="2"/>
  <c r="F40" i="2"/>
  <c r="E33" i="2"/>
  <c r="F15" i="2"/>
  <c r="F26" i="2"/>
  <c r="F4" i="2"/>
  <c r="F35" i="2"/>
  <c r="E5" i="2"/>
  <c r="E39" i="2"/>
  <c r="E27" i="2"/>
  <c r="E18" i="2"/>
  <c r="F13" i="2"/>
  <c r="F11" i="2"/>
  <c r="F42" i="2"/>
  <c r="F33" i="2"/>
  <c r="F19" i="2"/>
  <c r="F10" i="2"/>
  <c r="AB10" i="2" s="1"/>
  <c r="AD10" i="2" s="1"/>
  <c r="F21" i="2"/>
  <c r="E43" i="2"/>
  <c r="E37" i="2"/>
  <c r="E32" i="2"/>
  <c r="E25" i="2"/>
  <c r="E9" i="2"/>
  <c r="F22" i="2"/>
  <c r="F8" i="2"/>
  <c r="E42" i="2"/>
  <c r="E38" i="2"/>
  <c r="E34" i="2"/>
  <c r="E29" i="2"/>
  <c r="E24" i="2"/>
  <c r="E16" i="2"/>
  <c r="E14" i="2"/>
  <c r="E20" i="2"/>
  <c r="E13" i="2"/>
  <c r="E30" i="2"/>
  <c r="E26" i="2"/>
  <c r="E22" i="2"/>
  <c r="E17" i="2"/>
  <c r="E11" i="2"/>
  <c r="E19" i="2"/>
  <c r="E15" i="2"/>
  <c r="E10" i="2"/>
  <c r="F31" i="2"/>
  <c r="AB31" i="2" s="1"/>
  <c r="AD31" i="2" s="1"/>
  <c r="F30" i="2"/>
  <c r="F41" i="2"/>
  <c r="AB41" i="2" s="1"/>
  <c r="AD41" i="2" s="1"/>
  <c r="E12" i="2"/>
  <c r="E8" i="2"/>
  <c r="F9" i="2"/>
  <c r="F36" i="2"/>
  <c r="AB36" i="2" s="1"/>
  <c r="AD36" i="2" s="1"/>
  <c r="F5" i="2"/>
  <c r="F18" i="2"/>
  <c r="AB18" i="2" s="1"/>
  <c r="AD18" i="2" s="1"/>
  <c r="F16" i="2"/>
  <c r="F29" i="2"/>
  <c r="F28" i="2"/>
  <c r="F43" i="2"/>
  <c r="F25" i="2"/>
  <c r="F3" i="2"/>
  <c r="AA18" i="2" l="1"/>
  <c r="AA33" i="2"/>
  <c r="AA31" i="2"/>
  <c r="AA19" i="2"/>
  <c r="AC19" i="2" s="1"/>
  <c r="AA24" i="2"/>
  <c r="AC24" i="2" s="1"/>
  <c r="AA42" i="2"/>
  <c r="AA41" i="2"/>
  <c r="AC41" i="2" s="1"/>
  <c r="AA10" i="2"/>
  <c r="AC10" i="2" s="1"/>
  <c r="AA27" i="2"/>
  <c r="AA21" i="2"/>
  <c r="AA32" i="2"/>
  <c r="AC32" i="2" s="1"/>
  <c r="AA26" i="2"/>
  <c r="AC26" i="2" s="1"/>
  <c r="AA35" i="2"/>
  <c r="AA12" i="2"/>
  <c r="AA23" i="2"/>
  <c r="AC23" i="2" s="1"/>
  <c r="AA39" i="2"/>
  <c r="AC39" i="2" s="1"/>
  <c r="AA40" i="2"/>
  <c r="AC40" i="2" s="1"/>
  <c r="AA43" i="2"/>
  <c r="AC43" i="2" s="1"/>
  <c r="AA20" i="2"/>
  <c r="AC20" i="2" s="1"/>
  <c r="AA3" i="2"/>
  <c r="AC3" i="2" s="1"/>
  <c r="AA7" i="2"/>
  <c r="AC7" i="2" s="1"/>
  <c r="AA14" i="2"/>
  <c r="AC14" i="2" s="1"/>
  <c r="AA28" i="2"/>
  <c r="AC28" i="2" s="1"/>
  <c r="AA29" i="2"/>
  <c r="AC29" i="2" s="1"/>
  <c r="AA30" i="2"/>
  <c r="AC30" i="2" s="1"/>
  <c r="AA37" i="2"/>
  <c r="AC37" i="2" s="1"/>
  <c r="AA9" i="2"/>
  <c r="AC9" i="2" s="1"/>
  <c r="AA36" i="2"/>
  <c r="AC36" i="2" s="1"/>
  <c r="AA17" i="2"/>
  <c r="AC17" i="2" s="1"/>
  <c r="AA34" i="2"/>
  <c r="AC34" i="2" s="1"/>
  <c r="AA5" i="2"/>
  <c r="AC5" i="2" s="1"/>
  <c r="AA15" i="2"/>
  <c r="AC15" i="2" s="1"/>
  <c r="AA38" i="2"/>
  <c r="AC38" i="2" s="1"/>
  <c r="AA8" i="2"/>
  <c r="AC8" i="2" s="1"/>
  <c r="AA25" i="2"/>
  <c r="AC25" i="2" s="1"/>
  <c r="AA11" i="2"/>
  <c r="AC11" i="2" s="1"/>
  <c r="AA22" i="2"/>
  <c r="AC22" i="2" s="1"/>
  <c r="AA13" i="2"/>
  <c r="AC13" i="2" s="1"/>
  <c r="AA4" i="2"/>
  <c r="AC4" i="2" s="1"/>
  <c r="AB6" i="2"/>
  <c r="AD6" i="2" s="1"/>
  <c r="AB30" i="2"/>
  <c r="AD30" i="2" s="1"/>
  <c r="AB33" i="2"/>
  <c r="AD33" i="2" s="1"/>
  <c r="AB32" i="2"/>
  <c r="AD32" i="2" s="1"/>
  <c r="AB26" i="2"/>
  <c r="AD26" i="2" s="1"/>
  <c r="AB22" i="2"/>
  <c r="AD22" i="2" s="1"/>
  <c r="AC33" i="2"/>
  <c r="AB40" i="2"/>
  <c r="AD40" i="2" s="1"/>
  <c r="AB20" i="2"/>
  <c r="AD20" i="2" s="1"/>
  <c r="AC31" i="2"/>
  <c r="AC6" i="2"/>
  <c r="AC16" i="2"/>
  <c r="AC18" i="2"/>
  <c r="AB11" i="2"/>
  <c r="AD11" i="2" s="1"/>
  <c r="AB7" i="2"/>
  <c r="AD7" i="2" s="1"/>
  <c r="AB16" i="2"/>
  <c r="AD16" i="2" s="1"/>
  <c r="AB3" i="2"/>
  <c r="AD3" i="2" s="1"/>
  <c r="AB35" i="2"/>
  <c r="AD35" i="2" s="1"/>
  <c r="AC21" i="2"/>
  <c r="AB28" i="2"/>
  <c r="AD28" i="2" s="1"/>
  <c r="AB5" i="2"/>
  <c r="AD5" i="2" s="1"/>
  <c r="AB8" i="2"/>
  <c r="AD8" i="2" s="1"/>
  <c r="AB13" i="2"/>
  <c r="AD13" i="2" s="1"/>
  <c r="AB25" i="2"/>
  <c r="AD25" i="2" s="1"/>
  <c r="AB43" i="2"/>
  <c r="AD43" i="2" s="1"/>
  <c r="AB19" i="2"/>
  <c r="AD19" i="2" s="1"/>
  <c r="AC42" i="2"/>
  <c r="AC27" i="2"/>
  <c r="AB15" i="2"/>
  <c r="AD15" i="2" s="1"/>
  <c r="AB24" i="2"/>
  <c r="AD24" i="2" s="1"/>
  <c r="AB17" i="2"/>
  <c r="AD17" i="2" s="1"/>
  <c r="AB12" i="2"/>
  <c r="AD12" i="2" s="1"/>
  <c r="AB27" i="2"/>
  <c r="AD27" i="2" s="1"/>
  <c r="AB9" i="2"/>
  <c r="AD9" i="2" s="1"/>
  <c r="AB37" i="2"/>
  <c r="AD37" i="2" s="1"/>
  <c r="AB21" i="2"/>
  <c r="AD21" i="2" s="1"/>
  <c r="AC12" i="2"/>
  <c r="AB42" i="2"/>
  <c r="AD42" i="2" s="1"/>
  <c r="AB4" i="2"/>
  <c r="AD4" i="2" s="1"/>
  <c r="AB39" i="2"/>
  <c r="AD39" i="2" s="1"/>
  <c r="AB29" i="2"/>
  <c r="AD29" i="2" s="1"/>
  <c r="AC35" i="2"/>
  <c r="AB23" i="2"/>
  <c r="AD23" i="2" s="1"/>
</calcChain>
</file>

<file path=xl/sharedStrings.xml><?xml version="1.0" encoding="utf-8"?>
<sst xmlns="http://schemas.openxmlformats.org/spreadsheetml/2006/main" count="319" uniqueCount="246">
  <si>
    <t>Vin</t>
  </si>
  <si>
    <t>I(Lrms)</t>
  </si>
  <si>
    <t>f(sw)</t>
  </si>
  <si>
    <t>V</t>
  </si>
  <si>
    <t>A</t>
  </si>
  <si>
    <t>H</t>
  </si>
  <si>
    <t>Hz</t>
  </si>
  <si>
    <t>I(Lpeak)</t>
  </si>
  <si>
    <t>s</t>
  </si>
  <si>
    <t>F</t>
  </si>
  <si>
    <t>mW</t>
  </si>
  <si>
    <t>K</t>
  </si>
  <si>
    <t>Vin(min)</t>
  </si>
  <si>
    <t>Vin(max)</t>
  </si>
  <si>
    <t>Inductor maximum RMS current</t>
  </si>
  <si>
    <t>Inductor series resistance per inductor datasheet</t>
  </si>
  <si>
    <t>Typical switching frequency</t>
  </si>
  <si>
    <t>L1 actual</t>
  </si>
  <si>
    <t>Includes losses from DC resistance drop only</t>
  </si>
  <si>
    <t>Arms</t>
  </si>
  <si>
    <t>Vpp</t>
  </si>
  <si>
    <t>DCR of L1</t>
  </si>
  <si>
    <t>The equivalent output capacitor current ripple spec must be higher than this value.</t>
  </si>
  <si>
    <t>Units</t>
  </si>
  <si>
    <t>Value</t>
  </si>
  <si>
    <t>Description</t>
  </si>
  <si>
    <t>Instructions/Comments</t>
  </si>
  <si>
    <t>f(BW) desired</t>
  </si>
  <si>
    <t>Ω</t>
  </si>
  <si>
    <t>Estimate of body diode voltage of the HSFET</t>
  </si>
  <si>
    <t>Vout</t>
  </si>
  <si>
    <t>effective output capacitance. Need to consider the derating with DC bias voltage when using ceramic cap</t>
  </si>
  <si>
    <t>Should be less than 1/5*fzRPH and 1/10*fsw</t>
  </si>
  <si>
    <t>&lt;=36V</t>
  </si>
  <si>
    <t>Switching frequency setting resistor</t>
  </si>
  <si>
    <t>R2 recommended</t>
  </si>
  <si>
    <t>The equivalent input capacitor current ripple spec must be higher than this value</t>
  </si>
  <si>
    <t>Minimum output capacitance needed for Vout ripple requirement</t>
  </si>
  <si>
    <t>Internal</t>
  </si>
  <si>
    <t>Efficiency estimate. Correct it after getting the calculated efficiency</t>
  </si>
  <si>
    <t>Schematic</t>
  </si>
  <si>
    <t>Component Value</t>
  </si>
  <si>
    <t>No use or internal value</t>
  </si>
  <si>
    <t>Calculated value</t>
  </si>
  <si>
    <t>Register Setting</t>
  </si>
  <si>
    <t>Output current limit setting</t>
  </si>
  <si>
    <t>R1</t>
  </si>
  <si>
    <t>Output current sensing resistor</t>
  </si>
  <si>
    <t>VCC</t>
  </si>
  <si>
    <t>Ω</t>
  </si>
  <si>
    <t>Maximum desired input ripple due to solely to input capacitance at buck mode</t>
  </si>
  <si>
    <t>Cin(min) recommended</t>
  </si>
  <si>
    <t>Cout(min) recommended</t>
  </si>
  <si>
    <t>Cin actual</t>
  </si>
  <si>
    <t>Iout(max)</t>
  </si>
  <si>
    <t>Boost LSFET Rdson</t>
  </si>
  <si>
    <t>Boost LSFET fall time</t>
  </si>
  <si>
    <t>Boost LSFET rise time</t>
  </si>
  <si>
    <t>Boost HSFET Rdson</t>
  </si>
  <si>
    <t>Boost HSFET dead time</t>
  </si>
  <si>
    <t>Boost HSFET diode voltage</t>
  </si>
  <si>
    <t>Buck HSFET Rdson</t>
  </si>
  <si>
    <t>Buck HSFET rise time</t>
  </si>
  <si>
    <t>Buck HSFET fall time</t>
  </si>
  <si>
    <t>Buck LSFET Rdson</t>
  </si>
  <si>
    <t>Buck LSFET dead time</t>
  </si>
  <si>
    <t>Buck LSFET diode voltage</t>
  </si>
  <si>
    <t>Buck HSFET Qg</t>
  </si>
  <si>
    <t>C</t>
  </si>
  <si>
    <t>Buck LSFET Qg</t>
  </si>
  <si>
    <t>Total Qg at Vgs=5V</t>
  </si>
  <si>
    <t>°C</t>
  </si>
  <si>
    <t>Dead time during the switching</t>
  </si>
  <si>
    <t>R5 recommended</t>
  </si>
  <si>
    <t>Inductor DCR Pd</t>
  </si>
  <si>
    <t>Iout(limit)</t>
  </si>
  <si>
    <t>Maximum output current</t>
  </si>
  <si>
    <t>Frequency dithering f(mod)</t>
  </si>
  <si>
    <t>Modulation frequency for spread spectrum</t>
  </si>
  <si>
    <t>C8 recommended</t>
  </si>
  <si>
    <t>Switching Mode at light load</t>
  </si>
  <si>
    <t>User input value</t>
  </si>
  <si>
    <t>Select internal VCC or use external VCC power supply</t>
  </si>
  <si>
    <t>Select Forced PWM or Auto PFM mode at light load</t>
  </si>
  <si>
    <t>Minimum input capacitance needed for Vin ripple requirement</t>
  </si>
  <si>
    <t>L1's minimum recommended inductance value to meet inductor current ripple ratio at boost mode with Vin_min</t>
  </si>
  <si>
    <t>Fraction of maximum average inductor current that is ripple current (0.2-0.6 typically)</t>
  </si>
  <si>
    <t>External CDC voltage ratio</t>
  </si>
  <si>
    <t>ΔVout / (VISP-VISN)</t>
  </si>
  <si>
    <t>mV/mV</t>
  </si>
  <si>
    <t>R3 recommended</t>
  </si>
  <si>
    <t>C7 recommended</t>
  </si>
  <si>
    <t>C7 actual</t>
  </si>
  <si>
    <t>C6 recommended</t>
  </si>
  <si>
    <t>C6 actual</t>
  </si>
  <si>
    <t>R4 recommend</t>
  </si>
  <si>
    <t>Recommended R4 for external CDC setting</t>
  </si>
  <si>
    <t>L1 recommended min</t>
  </si>
  <si>
    <t>fz_comp gain</t>
  </si>
  <si>
    <t>fz_comp phase</t>
  </si>
  <si>
    <t>fzRHP gain</t>
  </si>
  <si>
    <t>fzRHP phase</t>
  </si>
  <si>
    <t>fp1 gain</t>
  </si>
  <si>
    <t>fp1 phase</t>
  </si>
  <si>
    <t>fz_ESR gain</t>
  </si>
  <si>
    <t>fz_ESR phase</t>
  </si>
  <si>
    <t>fp_comp1 gain</t>
  </si>
  <si>
    <t>fp_comp1 phase</t>
  </si>
  <si>
    <t>fp_comp2 gain</t>
  </si>
  <si>
    <t>fp_comp2 phase</t>
  </si>
  <si>
    <t>R3 actual</t>
  </si>
  <si>
    <t>Equivalent ESR if multiple high ESR electrolytic capacitors in parallel</t>
  </si>
  <si>
    <t>fp2 gain</t>
  </si>
  <si>
    <t>fp2 phase</t>
  </si>
  <si>
    <t>°C/W</t>
  </si>
  <si>
    <t>Rsense Pd</t>
  </si>
  <si>
    <t>Capacitance of snubber at boost side</t>
  </si>
  <si>
    <t>Boost snubber Csnubber</t>
  </si>
  <si>
    <t>Rpcb on power path</t>
  </si>
  <si>
    <t>Rpcb Pd</t>
  </si>
  <si>
    <t>C2 actual</t>
  </si>
  <si>
    <t>C3 actual</t>
  </si>
  <si>
    <t>fp_current phase</t>
  </si>
  <si>
    <t>fp_current gain</t>
  </si>
  <si>
    <t>S</t>
  </si>
  <si>
    <t>Error amplifier gm</t>
  </si>
  <si>
    <t>Power stage gm of IL/Vcomp</t>
  </si>
  <si>
    <t>Effective electrolytic capacitance. Need to consider the derating with DC bias voltage</t>
  </si>
  <si>
    <t>Power losses on PCB trace</t>
  </si>
  <si>
    <t>Power Stage</t>
  </si>
  <si>
    <t>Current Close Loop</t>
  </si>
  <si>
    <t>fz_current gain</t>
  </si>
  <si>
    <t>fz_current phase</t>
  </si>
  <si>
    <t>Voltage Open Loop</t>
  </si>
  <si>
    <t>signal frequency</t>
  </si>
  <si>
    <t>loop gain (w/ comp2)</t>
  </si>
  <si>
    <t>loop gain (no comp2)</t>
  </si>
  <si>
    <t>loop phase (no comp2)</t>
  </si>
  <si>
    <t>loop phase (w/ comp2)</t>
  </si>
  <si>
    <t>Frequency</t>
  </si>
  <si>
    <t>Rca</t>
  </si>
  <si>
    <t>Cca</t>
  </si>
  <si>
    <t>gm_ca</t>
  </si>
  <si>
    <t>Vm</t>
  </si>
  <si>
    <t>Inner current loop specifications</t>
  </si>
  <si>
    <t>PCB trace resistance on power path from Vin to Vout cap</t>
  </si>
  <si>
    <t>Buck or Boost?</t>
  </si>
  <si>
    <t>Right half plane zero in boost mode</t>
  </si>
  <si>
    <t>ESR zero of the output cap</t>
  </si>
  <si>
    <t>Power stage pole of Rload and Cout</t>
  </si>
  <si>
    <t>Bode Plot</t>
  </si>
  <si>
    <t>fp_filter gain</t>
  </si>
  <si>
    <t>fp_filter phase</t>
  </si>
  <si>
    <t>fp_comp3 gain</t>
  </si>
  <si>
    <t>fp_comp3 phase</t>
  </si>
  <si>
    <t>FB Input Filter</t>
  </si>
  <si>
    <t>COMP Output Buffer</t>
  </si>
  <si>
    <t>Voltage Loop Compensation (COMP)</t>
  </si>
  <si>
    <t>Calculate open loop compensate at buck mode or boost mode</t>
  </si>
  <si>
    <t>Buck snubber Csnubber</t>
  </si>
  <si>
    <t>Snubber Pd</t>
  </si>
  <si>
    <t>Inductor core &amp; AC Pd</t>
  </si>
  <si>
    <t>I(Lrms) max</t>
  </si>
  <si>
    <t>Inductor RMS current</t>
  </si>
  <si>
    <t>I(Lpeak) max</t>
  </si>
  <si>
    <t>I(Lvalley) max</t>
  </si>
  <si>
    <t>Inductor peak current</t>
  </si>
  <si>
    <t>Inductor valley current</t>
  </si>
  <si>
    <t>Efficiency at Iout_max</t>
  </si>
  <si>
    <t>COMP pin has internal 2k resistor in seriese with R3</t>
  </si>
  <si>
    <t>Bottom resistor value of the external feedback resistor divider</t>
  </si>
  <si>
    <t>ESR of C3</t>
  </si>
  <si>
    <t>Current S/H phase</t>
  </si>
  <si>
    <t>Current S/H gain</t>
  </si>
  <si>
    <t>Effective ceramic capacitance at VOUT. Need to consider the derating with DC bias voltage</t>
  </si>
  <si>
    <t>Unit</t>
  </si>
  <si>
    <t>THIS PROGRAM IS PROVIDED "AS IS". TI MAKES NO WARRANTIES OR REPRESENTATIONS, EITHER EXPRESS, IMPLIED OR STATUTORY, INCLUDING ANY IMPLIED WARRANTIES OF MERCHANTABILITY, FITNESS FOR A PARTICULAR PURPOSE, LACK OF VIRUSES, ACCURACY OR COMPLETENESS OF RESPONSES, RESULTS AND LACK OF NEGLIGENCE. TI DISCLAIMS ANY WARRANTY OF TITLE, QUIET ENJOYMENT, QUIET POSSESSION, AND NON-INFRINGEMENT OF ANY THIRD PARTY INTELLECTUAL PROPERTY RIGHTS WITH REGARD TO THE PROGRAM OR YOUR USE OF THE PROGRAM.</t>
  </si>
  <si>
    <t>IN NO EVENT SHALL TI BE LIABLE FOR ANY SPECIAL, INCIDENTAL, CONSEQUENTIAL OR INDIRECT DAMAGES, HOWEVER CAUSED, ON ANY THEORY OF LIABILITY AND WHETHER OR NOT TI HAS BEEN ADVISED OF THE POSSIBILITY OF SUCH DAMAGES, ARISING IN ANY WAY OUT OF THIS AGREEMENT, THE PROGRAM, OR YOUR USE OF THE PROGRAM.  EXCLUDED DAMAGES INCLUDE, BUT ARE NOT LIMITED TO, COST OF REMOVAL OR REINSTALLATION, COMPUTER TIME, LABOR COSTS, LOSS OF GOODWILL, LOSS OF PROFITS, LOSS OF SAVINGS, OR LOSS OF USE OR INTERRUPTION OF BUSINESS. IN NO EVENT WILL TI'S AGGREGATE LIABILITY UNDER THIS AGREEMENT OR ARISING OUT OF YOUR USE OF THE PROGRAM EXCEED FIVE HUNDRED DOLLARS (U.S.$500).</t>
  </si>
  <si>
    <t>Unless otherwise stated, the Program written and copyrighted by Texas Instruments is distributed as "freeware".  You may, only under TI's copyright in the Program, use and modify the Program without any charge or restriction.  You may distribute to third parties, provided that you transfer a copy of this license to the third party and the third party agrees to these terms by its first use of the Program. You must reproduce the copyright notice and any other legend of ownership on each copy or partial copy, of the Program.</t>
  </si>
  <si>
    <t>You acknowledge and agree that the Program contains copyrighted material, trade secrets and other TI proprietary information and is protected by copyright laws, international copyright treaties, and trade secret laws, as well as other intellectual property laws.  To protect TI's rights in the Program, you agree not to decompile, reverse engineer, disassemble or otherwise translate any object code versions of the Program to a human-readable form.  You agree that in no event will you alter, remove or destroy any copyright notice included in the Program.  TI reserves all rights not specifically granted under this license. Except as specifically provided herein, nothing in this agreement shall be construed as conferring by implication, estoppel, or otherwise, upon you, any license or other right under any TI patents, copyrights or trade secrets.</t>
  </si>
  <si>
    <t>Buck LSFET Qrr</t>
  </si>
  <si>
    <t>Reverse recovery charge of the low side FET</t>
  </si>
  <si>
    <t>Loop Compensation Calculation in FPWM CCM mode</t>
  </si>
  <si>
    <t>Have internal 3pF cap between COMP and GND</t>
  </si>
  <si>
    <t>Check both buck and boost mode by changing Vin and Vout. The loop must have enough phase margin and gain margin</t>
  </si>
  <si>
    <t>Maximum desired output ripple solely due to output capacitance (ignores ESR)</t>
  </si>
  <si>
    <t>Average Inductor Limit</t>
  </si>
  <si>
    <t>Capacitance of snubber at buck side</t>
  </si>
  <si>
    <t>Cout Pd</t>
  </si>
  <si>
    <t>Power loss on output current sense resistor</t>
  </si>
  <si>
    <t>Power loss on snubber</t>
  </si>
  <si>
    <t>Power loss on ESR of the output capacitor in boost mode</t>
  </si>
  <si>
    <t>Vin for efficiency estimation at desired Vout and Iout(max)</t>
  </si>
  <si>
    <t>Estimate of SW1 node 10-90% rise time from measurement</t>
  </si>
  <si>
    <t>Estimate of SW1 node 10-90% fall time from measurement</t>
  </si>
  <si>
    <r>
      <t>Up resistor value of the extenral feedback resistor value. It is recommended to 100k</t>
    </r>
    <r>
      <rPr>
        <sz val="10"/>
        <rFont val="Arial"/>
        <family val="2"/>
      </rPr>
      <t>Ω</t>
    </r>
  </si>
  <si>
    <r>
      <t>m</t>
    </r>
    <r>
      <rPr>
        <sz val="10"/>
        <rFont val="Arial"/>
        <family val="2"/>
      </rPr>
      <t>Ω</t>
    </r>
  </si>
  <si>
    <r>
      <rPr>
        <sz val="10"/>
        <rFont val="Arial"/>
        <family val="2"/>
      </rPr>
      <t>ΔIin(Cin_rms)</t>
    </r>
  </si>
  <si>
    <r>
      <rPr>
        <sz val="10"/>
        <rFont val="Arial"/>
        <family val="2"/>
      </rPr>
      <t>ΔVin(pk-pk)</t>
    </r>
  </si>
  <si>
    <r>
      <rPr>
        <sz val="10"/>
        <rFont val="Arial"/>
        <family val="2"/>
      </rPr>
      <t>ΘJA</t>
    </r>
  </si>
  <si>
    <r>
      <t xml:space="preserve">The top case temperature of IC is very close to the Junction temperature because </t>
    </r>
    <r>
      <rPr>
        <sz val="10"/>
        <rFont val="Arial"/>
        <family val="2"/>
      </rPr>
      <t>ΨJT=0.6°C/W</t>
    </r>
  </si>
  <si>
    <r>
      <rPr>
        <sz val="10"/>
        <rFont val="Calibri"/>
        <family val="2"/>
      </rPr>
      <t>Δ</t>
    </r>
    <r>
      <rPr>
        <sz val="10"/>
        <rFont val="Arial"/>
        <family val="2"/>
      </rPr>
      <t>Iout(Cout_rms)</t>
    </r>
  </si>
  <si>
    <r>
      <rPr>
        <sz val="10"/>
        <rFont val="Calibri"/>
        <family val="2"/>
      </rPr>
      <t>Δ</t>
    </r>
    <r>
      <rPr>
        <sz val="10"/>
        <rFont val="Arial"/>
        <family val="2"/>
      </rPr>
      <t>Vout(pk-pk)</t>
    </r>
  </si>
  <si>
    <t>Estimate of SW node 10-90% rise time from measurement</t>
  </si>
  <si>
    <t>Estimate of SW node 10-90% fall time from measurement</t>
  </si>
  <si>
    <r>
      <rPr>
        <sz val="10"/>
        <rFont val="Calibri"/>
        <family val="2"/>
      </rPr>
      <t>η</t>
    </r>
    <r>
      <rPr>
        <sz val="10"/>
        <rFont val="Arial"/>
        <family val="2"/>
      </rPr>
      <t xml:space="preserve"> estimate</t>
    </r>
  </si>
  <si>
    <r>
      <rPr>
        <sz val="10"/>
        <rFont val="Calibri"/>
        <family val="2"/>
      </rPr>
      <t>η</t>
    </r>
    <r>
      <rPr>
        <sz val="10"/>
        <rFont val="Arial"/>
        <family val="2"/>
      </rPr>
      <t xml:space="preserve"> - calculated</t>
    </r>
  </si>
  <si>
    <t>I(Lvalley)</t>
  </si>
  <si>
    <t>The inductor (L1) is recommended to have saturation current rating 30% higher than this value.</t>
  </si>
  <si>
    <t>Efficiency in buck CCM mode or boost CCM mode with maximum Iout</t>
  </si>
  <si>
    <t>fp_PS</t>
  </si>
  <si>
    <t>gm_PS</t>
  </si>
  <si>
    <t>gm_EA</t>
  </si>
  <si>
    <t>fz_COMP</t>
  </si>
  <si>
    <t>fz_RHP</t>
  </si>
  <si>
    <t>fz_ESR</t>
  </si>
  <si>
    <t>fp2_COMP</t>
  </si>
  <si>
    <t>Loop compensation zero frequency</t>
  </si>
  <si>
    <t>Set the compensation fz = fco/10</t>
  </si>
  <si>
    <t>Buck HSFET Coss</t>
  </si>
  <si>
    <t>HSFET output capacitance when VDS=VIN</t>
  </si>
  <si>
    <t>The lower zero of the Cout's ESR zero and boost right half plane zero should be cancelled by the R3*(C6*C7/(C6+C7)) pole.</t>
  </si>
  <si>
    <t>TI Information - Selective Disclosure. You may not use the Program in non-TI devices.</t>
  </si>
  <si>
    <t>&gt;=3.0V</t>
  </si>
  <si>
    <t xml:space="preserve">MODE </t>
  </si>
  <si>
    <t>EXTVCC</t>
  </si>
  <si>
    <t>EXTVCC pin input logic status</t>
  </si>
  <si>
    <t>MODE pin input logic status</t>
  </si>
  <si>
    <t>R6 recommended</t>
  </si>
  <si>
    <t>Core and AC loss of inductor. Use inductor vendor's formula to estimate. 521mW is the power loss of XAL7070-472 running at 400kHz with Ilrms=5.32A and Ilripple=2.63A at 400kHz.</t>
  </si>
  <si>
    <t>FPWM</t>
  </si>
  <si>
    <t>Design Tool for TPS552892</t>
  </si>
  <si>
    <t>Must be lower than or equal to 22V</t>
  </si>
  <si>
    <t>Buck HSFET on-resistance in TPS552892 is 14mΩ at 25°C. Temperature coefficient is 0.4%/°C. Correct it when at high Tj</t>
  </si>
  <si>
    <t>Boost LSFET on-resistance in TPS552892 is 11mΩ at 25°C. Temperature coefficient is 0.4%/°C. Correct it when at high Tj</t>
  </si>
  <si>
    <t>TPS552892 Pd</t>
  </si>
  <si>
    <t xml:space="preserve">TPS552892 junction to ambient thermal resistance on EVM. The actual ΘJA depends on the PCB design. </t>
  </si>
  <si>
    <t>This tool is designed to aid the user in designing the TPS552892 buck-boost converter. Refer to TPS552892 datasheet for detail design precedure and all equations.</t>
  </si>
  <si>
    <t>Buck LSFET on-resistance in TPS552892 is 22mΩ at 25°C. Temperature coefficient is 0.4%/°C. Correct it when at high Tj</t>
  </si>
  <si>
    <t>Boost HSFET on-resistance in TPS552892 is 10mΩ at 25°C. Temperature coefficient is 0.4%/°C. Correct it when at high Tj</t>
  </si>
  <si>
    <t>Power loss on TPS552892</t>
  </si>
  <si>
    <t>TPS552892 temperature rise</t>
  </si>
  <si>
    <t>V1.0 (04/26/2023)</t>
  </si>
  <si>
    <r>
      <t xml:space="preserve">Desired typical average inductor current limit. </t>
    </r>
    <r>
      <rPr>
        <sz val="10"/>
        <rFont val="Calibri"/>
        <family val="2"/>
      </rPr>
      <t>±1A tolerance</t>
    </r>
  </si>
  <si>
    <t>I(Laverage) max</t>
  </si>
  <si>
    <t>The inductor average current at minmum Vin.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</si>
</sst>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0.0E+00"/>
    <numFmt numFmtId="167" formatCode="0.0000"/>
    <numFmt numFmtId="168" formatCode="#,##0.000"/>
  </numFmts>
  <fonts count="15">
    <font>
      <sz val="10"/>
      <name val="Arial"/>
      <family val="2"/>
    </font>
    <font>
      <sz val="10"/>
      <name val="Arial"/>
      <family val="2"/>
    </font>
    <font>
      <sz val="8"/>
      <name val="Arial"/>
      <family val="2"/>
    </font>
    <font>
      <sz val="10"/>
      <name val="Symbol"/>
      <family val="1"/>
      <charset val="2"/>
    </font>
    <font>
      <sz val="10"/>
      <color indexed="10"/>
      <name val="Arial"/>
      <family val="2"/>
    </font>
    <font>
      <b/>
      <sz val="10"/>
      <name val="Arial"/>
      <family val="2"/>
    </font>
    <font>
      <sz val="10"/>
      <color indexed="53"/>
      <name val="Arial"/>
      <family val="2"/>
    </font>
    <font>
      <b/>
      <sz val="12"/>
      <name val="Arial"/>
      <family val="2"/>
    </font>
    <font>
      <b/>
      <sz val="11"/>
      <name val="Arial"/>
      <family val="2"/>
    </font>
    <font>
      <b/>
      <i/>
      <sz val="10"/>
      <color indexed="53"/>
      <name val="Arial"/>
      <family val="2"/>
    </font>
    <font>
      <sz val="10"/>
      <name val="Calibri"/>
      <family val="2"/>
    </font>
    <font>
      <sz val="10"/>
      <name val="Arial Unicode MS"/>
      <family val="2"/>
    </font>
    <font>
      <sz val="10"/>
      <color theme="0"/>
      <name val="Arial"/>
      <family val="2"/>
    </font>
    <font>
      <b/>
      <sz val="10"/>
      <color theme="0"/>
      <name val="Arial"/>
      <family val="2"/>
    </font>
    <font>
      <sz val="10"/>
      <color theme="0"/>
      <name val="Symbol"/>
      <family val="1"/>
      <charset val="2"/>
    </font>
  </fonts>
  <fills count="11">
    <fill>
      <patternFill patternType="none"/>
    </fill>
    <fill>
      <patternFill patternType="gray125"/>
    </fill>
    <fill>
      <patternFill patternType="solid">
        <fgColor indexed="10"/>
        <bgColor indexed="64"/>
      </patternFill>
    </fill>
    <fill>
      <patternFill patternType="solid">
        <fgColor theme="0"/>
        <bgColor indexed="64"/>
      </patternFill>
    </fill>
    <fill>
      <patternFill patternType="solid">
        <fgColor rgb="FF00FF00"/>
        <bgColor indexed="64"/>
      </patternFill>
    </fill>
    <fill>
      <patternFill patternType="solid">
        <fgColor rgb="FFFF0000"/>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tint="0.39997558519241921"/>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style="thin">
        <color indexed="64"/>
      </right>
      <top style="thin">
        <color indexed="64"/>
      </top>
      <bottom style="thin">
        <color indexed="64"/>
      </bottom>
      <diagonal/>
    </border>
    <border>
      <left style="thick">
        <color auto="1"/>
      </left>
      <right/>
      <top style="thin">
        <color indexed="64"/>
      </top>
      <bottom style="thin">
        <color indexed="64"/>
      </bottom>
      <diagonal/>
    </border>
    <border>
      <left/>
      <right/>
      <top/>
      <bottom style="thick">
        <color auto="1"/>
      </bottom>
      <diagonal/>
    </border>
    <border>
      <left/>
      <right style="thick">
        <color auto="1"/>
      </right>
      <top/>
      <bottom style="thick">
        <color auto="1"/>
      </bottom>
      <diagonal/>
    </border>
    <border>
      <left style="thin">
        <color indexed="64"/>
      </left>
      <right/>
      <top/>
      <bottom/>
      <diagonal/>
    </border>
    <border>
      <left style="thick">
        <color auto="1"/>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style="thin">
        <color indexed="64"/>
      </bottom>
      <diagonal/>
    </border>
    <border>
      <left style="thick">
        <color auto="1"/>
      </left>
      <right style="thin">
        <color indexed="64"/>
      </right>
      <top/>
      <bottom style="thick">
        <color auto="1"/>
      </bottom>
      <diagonal/>
    </border>
    <border>
      <left style="thin">
        <color indexed="64"/>
      </left>
      <right style="thin">
        <color indexed="64"/>
      </right>
      <top/>
      <bottom style="thick">
        <color auto="1"/>
      </bottom>
      <diagonal/>
    </border>
    <border>
      <left style="thick">
        <color auto="1"/>
      </left>
      <right/>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n">
        <color indexed="64"/>
      </left>
      <right/>
      <top style="thick">
        <color auto="1"/>
      </top>
      <bottom/>
      <diagonal/>
    </border>
    <border>
      <left style="thin">
        <color indexed="64"/>
      </left>
      <right/>
      <top/>
      <bottom style="thick">
        <color auto="1"/>
      </bottom>
      <diagonal/>
    </border>
    <border>
      <left/>
      <right style="thin">
        <color indexed="64"/>
      </right>
      <top style="thick">
        <color auto="1"/>
      </top>
      <bottom/>
      <diagonal/>
    </border>
    <border>
      <left/>
      <right style="thin">
        <color indexed="64"/>
      </right>
      <top/>
      <bottom/>
      <diagonal/>
    </border>
    <border>
      <left/>
      <right style="thin">
        <color indexed="64"/>
      </right>
      <top/>
      <bottom style="thick">
        <color auto="1"/>
      </bottom>
      <diagonal/>
    </border>
    <border>
      <left style="thick">
        <color auto="1"/>
      </left>
      <right style="thin">
        <color indexed="64"/>
      </right>
      <top/>
      <bottom style="thin">
        <color indexed="64"/>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indexed="64"/>
      </left>
      <right style="thin">
        <color theme="1"/>
      </right>
      <top style="thin">
        <color indexed="64"/>
      </top>
      <bottom style="thin">
        <color indexed="64"/>
      </bottom>
      <diagonal/>
    </border>
    <border>
      <left/>
      <right style="thin">
        <color theme="0"/>
      </right>
      <top style="thin">
        <color theme="0"/>
      </top>
      <bottom style="thin">
        <color theme="0"/>
      </bottom>
      <diagonal/>
    </border>
    <border>
      <left style="thin">
        <color indexed="64"/>
      </left>
      <right style="thin">
        <color theme="1"/>
      </right>
      <top style="thin">
        <color indexed="64"/>
      </top>
      <bottom/>
      <diagonal/>
    </border>
    <border>
      <left style="thin">
        <color indexed="64"/>
      </left>
      <right style="thin">
        <color theme="1"/>
      </right>
      <top/>
      <bottom style="thin">
        <color indexed="64"/>
      </bottom>
      <diagonal/>
    </border>
    <border>
      <left style="thin">
        <color theme="0"/>
      </left>
      <right/>
      <top style="thin">
        <color theme="0"/>
      </top>
      <bottom style="thin">
        <color theme="0"/>
      </bottom>
      <diagonal/>
    </border>
    <border>
      <left style="thick">
        <color theme="1"/>
      </left>
      <right/>
      <top/>
      <bottom/>
      <diagonal/>
    </border>
  </borders>
  <cellStyleXfs count="2">
    <xf numFmtId="0" fontId="0" fillId="0" borderId="0"/>
    <xf numFmtId="9" fontId="1" fillId="0" borderId="0" applyFont="0" applyFill="0" applyBorder="0" applyAlignment="0" applyProtection="0"/>
  </cellStyleXfs>
  <cellXfs count="183">
    <xf numFmtId="0" fontId="0" fillId="0" borderId="0" xfId="0"/>
    <xf numFmtId="0" fontId="0" fillId="0" borderId="4" xfId="0" applyBorder="1" applyAlignment="1">
      <alignment wrapText="1"/>
    </xf>
    <xf numFmtId="0" fontId="0" fillId="0" borderId="5" xfId="0" applyBorder="1" applyAlignment="1">
      <alignment wrapText="1"/>
    </xf>
    <xf numFmtId="0" fontId="0" fillId="0" borderId="6" xfId="0" applyBorder="1" applyAlignment="1">
      <alignment wrapText="1"/>
    </xf>
    <xf numFmtId="0" fontId="0" fillId="0" borderId="7" xfId="0" applyBorder="1"/>
    <xf numFmtId="167" fontId="0" fillId="0" borderId="0" xfId="0" applyNumberFormat="1" applyBorder="1"/>
    <xf numFmtId="167" fontId="0" fillId="0" borderId="8" xfId="0" applyNumberFormat="1" applyBorder="1"/>
    <xf numFmtId="0" fontId="0" fillId="0" borderId="7" xfId="0" applyFill="1" applyBorder="1"/>
    <xf numFmtId="167" fontId="0" fillId="0" borderId="0" xfId="0" applyNumberFormat="1" applyFill="1" applyBorder="1"/>
    <xf numFmtId="0" fontId="0" fillId="0" borderId="20" xfId="0" applyBorder="1"/>
    <xf numFmtId="167" fontId="0" fillId="0" borderId="11" xfId="0" applyNumberFormat="1" applyBorder="1"/>
    <xf numFmtId="0" fontId="0" fillId="0" borderId="0" xfId="0" applyFill="1" applyBorder="1" applyAlignment="1">
      <alignment wrapText="1"/>
    </xf>
    <xf numFmtId="0" fontId="10" fillId="0" borderId="0" xfId="0" applyFont="1"/>
    <xf numFmtId="0" fontId="0" fillId="0" borderId="24" xfId="0" applyBorder="1" applyAlignment="1">
      <alignment wrapText="1"/>
    </xf>
    <xf numFmtId="167" fontId="0" fillId="0" borderId="13" xfId="0" applyNumberFormat="1" applyBorder="1"/>
    <xf numFmtId="167" fontId="0" fillId="0" borderId="25" xfId="0" applyNumberFormat="1" applyBorder="1"/>
    <xf numFmtId="0" fontId="0" fillId="0" borderId="26" xfId="0" applyBorder="1" applyAlignment="1">
      <alignment wrapText="1"/>
    </xf>
    <xf numFmtId="167" fontId="0" fillId="0" borderId="27" xfId="0" applyNumberFormat="1" applyBorder="1"/>
    <xf numFmtId="167" fontId="0" fillId="0" borderId="28" xfId="0" applyNumberFormat="1" applyBorder="1"/>
    <xf numFmtId="167" fontId="0" fillId="0" borderId="12" xfId="0" applyNumberFormat="1" applyBorder="1"/>
    <xf numFmtId="3" fontId="0" fillId="9" borderId="0" xfId="0" applyNumberFormat="1" applyFill="1" applyBorder="1"/>
    <xf numFmtId="3" fontId="0" fillId="0" borderId="0" xfId="0" applyNumberFormat="1" applyBorder="1"/>
    <xf numFmtId="3" fontId="0" fillId="0" borderId="0" xfId="0" applyNumberFormat="1" applyFill="1" applyBorder="1"/>
    <xf numFmtId="3" fontId="0" fillId="9" borderId="11" xfId="0" applyNumberFormat="1" applyFill="1" applyBorder="1"/>
    <xf numFmtId="0" fontId="0" fillId="0" borderId="0" xfId="0" applyFill="1" applyBorder="1" applyAlignment="1">
      <alignment horizontal="center" wrapText="1"/>
    </xf>
    <xf numFmtId="1" fontId="0" fillId="4" borderId="1" xfId="0" applyNumberFormat="1" applyFont="1" applyFill="1" applyBorder="1" applyProtection="1">
      <protection locked="0"/>
    </xf>
    <xf numFmtId="164" fontId="0" fillId="4" borderId="1" xfId="0" applyNumberFormat="1" applyFont="1" applyFill="1" applyBorder="1" applyProtection="1">
      <protection locked="0"/>
    </xf>
    <xf numFmtId="0" fontId="11" fillId="0" borderId="0" xfId="0" applyFont="1" applyAlignment="1">
      <alignment wrapText="1"/>
    </xf>
    <xf numFmtId="0" fontId="0" fillId="0" borderId="0" xfId="0" applyAlignment="1">
      <alignment wrapText="1"/>
    </xf>
    <xf numFmtId="1" fontId="0" fillId="10" borderId="1" xfId="0" applyNumberFormat="1" applyFont="1" applyFill="1" applyBorder="1" applyProtection="1">
      <protection hidden="1"/>
    </xf>
    <xf numFmtId="1" fontId="0" fillId="10" borderId="15" xfId="0" applyNumberFormat="1" applyFont="1" applyFill="1" applyBorder="1" applyProtection="1">
      <protection hidden="1"/>
    </xf>
    <xf numFmtId="165" fontId="0" fillId="10" borderId="15" xfId="0" applyNumberFormat="1" applyFont="1" applyFill="1" applyBorder="1" applyProtection="1">
      <protection hidden="1"/>
    </xf>
    <xf numFmtId="164" fontId="0" fillId="10" borderId="19" xfId="0" applyNumberFormat="1" applyFont="1" applyFill="1" applyBorder="1" applyProtection="1">
      <protection hidden="1"/>
    </xf>
    <xf numFmtId="0" fontId="0" fillId="4" borderId="1" xfId="0" applyFont="1" applyFill="1" applyBorder="1" applyProtection="1">
      <protection locked="0"/>
    </xf>
    <xf numFmtId="164" fontId="0" fillId="4" borderId="1" xfId="0" applyNumberFormat="1" applyFont="1" applyFill="1" applyBorder="1" applyAlignment="1" applyProtection="1">
      <alignment horizontal="right"/>
      <protection locked="0"/>
    </xf>
    <xf numFmtId="1" fontId="0" fillId="10" borderId="1" xfId="0" applyNumberFormat="1" applyFont="1" applyFill="1" applyBorder="1" applyAlignment="1" applyProtection="1">
      <alignment horizontal="right"/>
      <protection hidden="1"/>
    </xf>
    <xf numFmtId="164" fontId="0" fillId="6" borderId="1" xfId="0" applyNumberFormat="1" applyFont="1" applyFill="1" applyBorder="1" applyProtection="1">
      <protection locked="0"/>
    </xf>
    <xf numFmtId="164" fontId="0" fillId="6" borderId="1" xfId="0" applyNumberFormat="1" applyFont="1" applyFill="1" applyBorder="1" applyProtection="1">
      <protection hidden="1"/>
    </xf>
    <xf numFmtId="2" fontId="0" fillId="10" borderId="1" xfId="0" applyNumberFormat="1" applyFont="1" applyFill="1" applyBorder="1" applyProtection="1">
      <protection hidden="1"/>
    </xf>
    <xf numFmtId="3" fontId="0" fillId="4" borderId="1" xfId="0" applyNumberFormat="1" applyFont="1" applyFill="1" applyBorder="1" applyProtection="1">
      <protection locked="0"/>
    </xf>
    <xf numFmtId="3" fontId="0" fillId="10" borderId="1" xfId="0" applyNumberFormat="1" applyFont="1" applyFill="1" applyBorder="1" applyProtection="1">
      <protection hidden="1"/>
    </xf>
    <xf numFmtId="166" fontId="0" fillId="10" borderId="1" xfId="0" applyNumberFormat="1" applyFont="1" applyFill="1" applyBorder="1" applyProtection="1">
      <protection hidden="1"/>
    </xf>
    <xf numFmtId="4" fontId="0" fillId="4" borderId="1" xfId="0" applyNumberFormat="1" applyFont="1" applyFill="1" applyBorder="1" applyProtection="1">
      <protection locked="0"/>
    </xf>
    <xf numFmtId="11" fontId="0" fillId="10" borderId="1" xfId="0" applyNumberFormat="1" applyFont="1" applyFill="1" applyBorder="1" applyProtection="1">
      <protection hidden="1"/>
    </xf>
    <xf numFmtId="11" fontId="0" fillId="4" borderId="1" xfId="0" applyNumberFormat="1" applyFont="1" applyFill="1" applyBorder="1" applyProtection="1">
      <protection locked="0"/>
    </xf>
    <xf numFmtId="1" fontId="0" fillId="4" borderId="1" xfId="0" applyNumberFormat="1" applyFont="1" applyFill="1" applyBorder="1" applyAlignment="1" applyProtection="1">
      <alignment horizontal="right"/>
      <protection locked="0"/>
    </xf>
    <xf numFmtId="1" fontId="0" fillId="4" borderId="1" xfId="0" applyNumberFormat="1" applyFont="1" applyFill="1" applyBorder="1" applyAlignment="1" applyProtection="1">
      <alignment horizontal="right"/>
      <protection hidden="1"/>
    </xf>
    <xf numFmtId="1" fontId="0" fillId="6" borderId="1" xfId="0" applyNumberFormat="1" applyFont="1" applyFill="1" applyBorder="1" applyAlignment="1" applyProtection="1">
      <alignment horizontal="right"/>
      <protection hidden="1"/>
    </xf>
    <xf numFmtId="11" fontId="0" fillId="10" borderId="1" xfId="0" applyNumberFormat="1" applyFont="1" applyFill="1" applyBorder="1" applyAlignment="1" applyProtection="1">
      <alignment horizontal="right"/>
      <protection hidden="1"/>
    </xf>
    <xf numFmtId="11" fontId="0" fillId="4" borderId="15" xfId="0" applyNumberFormat="1" applyFont="1" applyFill="1" applyBorder="1" applyProtection="1">
      <protection locked="0"/>
    </xf>
    <xf numFmtId="2" fontId="0" fillId="10" borderId="15" xfId="0" applyNumberFormat="1" applyFont="1" applyFill="1" applyBorder="1" applyProtection="1">
      <protection hidden="1"/>
    </xf>
    <xf numFmtId="166" fontId="0" fillId="4" borderId="1" xfId="0" applyNumberFormat="1" applyFont="1" applyFill="1" applyBorder="1" applyProtection="1">
      <protection locked="0"/>
    </xf>
    <xf numFmtId="0" fontId="6" fillId="2" borderId="0" xfId="0" applyFont="1" applyFill="1" applyProtection="1">
      <protection hidden="1"/>
    </xf>
    <xf numFmtId="0" fontId="0" fillId="2" borderId="0" xfId="0" applyFont="1" applyFill="1" applyProtection="1">
      <protection hidden="1"/>
    </xf>
    <xf numFmtId="0" fontId="0" fillId="2" borderId="0" xfId="0" applyFill="1" applyProtection="1">
      <protection hidden="1"/>
    </xf>
    <xf numFmtId="0" fontId="0" fillId="5" borderId="0" xfId="0" applyFill="1" applyProtection="1">
      <protection hidden="1"/>
    </xf>
    <xf numFmtId="0" fontId="0" fillId="0" borderId="0" xfId="0" applyFill="1" applyProtection="1">
      <protection hidden="1"/>
    </xf>
    <xf numFmtId="0" fontId="0" fillId="3" borderId="7" xfId="0" applyFont="1" applyFill="1" applyBorder="1" applyAlignment="1" applyProtection="1">
      <alignment horizontal="center"/>
      <protection hidden="1"/>
    </xf>
    <xf numFmtId="0" fontId="0" fillId="3" borderId="0" xfId="0" applyFont="1" applyFill="1" applyBorder="1" applyAlignment="1" applyProtection="1">
      <alignment horizontal="center"/>
      <protection hidden="1"/>
    </xf>
    <xf numFmtId="0" fontId="0" fillId="3" borderId="0" xfId="0" applyFill="1" applyBorder="1" applyAlignment="1" applyProtection="1">
      <alignment horizontal="center"/>
      <protection hidden="1"/>
    </xf>
    <xf numFmtId="0" fontId="0" fillId="3" borderId="0" xfId="0" applyFill="1" applyBorder="1" applyProtection="1">
      <protection hidden="1"/>
    </xf>
    <xf numFmtId="0" fontId="0" fillId="3" borderId="8" xfId="0" applyFill="1" applyBorder="1" applyProtection="1">
      <protection hidden="1"/>
    </xf>
    <xf numFmtId="0" fontId="0" fillId="3" borderId="7" xfId="0" applyFont="1" applyFill="1" applyBorder="1" applyProtection="1">
      <protection hidden="1"/>
    </xf>
    <xf numFmtId="0" fontId="0" fillId="4" borderId="0" xfId="0" applyFont="1" applyFill="1" applyBorder="1" applyProtection="1">
      <protection hidden="1"/>
    </xf>
    <xf numFmtId="0" fontId="8" fillId="3" borderId="0" xfId="0" applyFont="1" applyFill="1" applyBorder="1" applyProtection="1">
      <protection hidden="1"/>
    </xf>
    <xf numFmtId="0" fontId="7" fillId="3" borderId="0" xfId="0" applyFont="1" applyFill="1" applyBorder="1" applyProtection="1">
      <protection hidden="1"/>
    </xf>
    <xf numFmtId="0" fontId="0" fillId="0" borderId="0" xfId="0" applyProtection="1">
      <protection hidden="1"/>
    </xf>
    <xf numFmtId="0" fontId="0" fillId="10" borderId="0" xfId="0" applyFont="1" applyFill="1" applyBorder="1" applyProtection="1">
      <protection hidden="1"/>
    </xf>
    <xf numFmtId="0" fontId="0" fillId="6" borderId="0" xfId="0" applyFont="1" applyFill="1" applyBorder="1" applyProtection="1">
      <protection hidden="1"/>
    </xf>
    <xf numFmtId="0" fontId="0" fillId="3" borderId="0" xfId="0" applyFont="1" applyFill="1" applyBorder="1" applyProtection="1">
      <protection hidden="1"/>
    </xf>
    <xf numFmtId="0" fontId="5" fillId="7" borderId="9" xfId="0" applyFont="1" applyFill="1" applyBorder="1" applyProtection="1">
      <protection hidden="1"/>
    </xf>
    <xf numFmtId="0" fontId="5" fillId="7" borderId="1" xfId="0" applyFont="1" applyFill="1" applyBorder="1" applyProtection="1">
      <protection hidden="1"/>
    </xf>
    <xf numFmtId="0" fontId="5" fillId="3" borderId="13" xfId="0" applyFont="1" applyFill="1" applyBorder="1" applyAlignment="1" applyProtection="1">
      <alignment vertical="center"/>
      <protection hidden="1"/>
    </xf>
    <xf numFmtId="0" fontId="5" fillId="3" borderId="0" xfId="0" applyFont="1" applyFill="1" applyBorder="1" applyAlignment="1" applyProtection="1">
      <alignment vertical="center"/>
      <protection hidden="1"/>
    </xf>
    <xf numFmtId="0" fontId="5" fillId="3" borderId="8" xfId="0" applyFont="1" applyFill="1" applyBorder="1" applyAlignment="1" applyProtection="1">
      <alignment vertical="center"/>
      <protection hidden="1"/>
    </xf>
    <xf numFmtId="0" fontId="0" fillId="3" borderId="9" xfId="0" applyFont="1" applyFill="1" applyBorder="1" applyProtection="1">
      <protection hidden="1"/>
    </xf>
    <xf numFmtId="0" fontId="0" fillId="3" borderId="1" xfId="0" applyFont="1" applyFill="1" applyBorder="1" applyProtection="1">
      <protection hidden="1"/>
    </xf>
    <xf numFmtId="0" fontId="0" fillId="3" borderId="1" xfId="0" applyFont="1" applyFill="1" applyBorder="1" applyAlignment="1" applyProtection="1">
      <alignment wrapText="1"/>
      <protection hidden="1"/>
    </xf>
    <xf numFmtId="0" fontId="9" fillId="3" borderId="9" xfId="0" applyFont="1" applyFill="1" applyBorder="1" applyProtection="1">
      <protection hidden="1"/>
    </xf>
    <xf numFmtId="0" fontId="0" fillId="3" borderId="0" xfId="0" applyFill="1" applyBorder="1" applyAlignment="1" applyProtection="1">
      <alignment wrapText="1"/>
      <protection hidden="1"/>
    </xf>
    <xf numFmtId="0" fontId="0" fillId="3" borderId="0" xfId="0" applyFill="1" applyBorder="1" applyAlignment="1" applyProtection="1">
      <protection hidden="1"/>
    </xf>
    <xf numFmtId="0" fontId="4" fillId="3" borderId="0" xfId="0" applyFont="1" applyFill="1" applyBorder="1" applyProtection="1">
      <protection hidden="1"/>
    </xf>
    <xf numFmtId="1" fontId="4" fillId="3" borderId="0" xfId="0" applyNumberFormat="1" applyFont="1" applyFill="1" applyBorder="1" applyProtection="1">
      <protection hidden="1"/>
    </xf>
    <xf numFmtId="0" fontId="0" fillId="3" borderId="9" xfId="0" applyFont="1" applyFill="1" applyBorder="1" applyAlignment="1" applyProtection="1">
      <alignment wrapText="1"/>
      <protection hidden="1"/>
    </xf>
    <xf numFmtId="0" fontId="6" fillId="5" borderId="0" xfId="0" applyFont="1" applyFill="1" applyProtection="1">
      <protection hidden="1"/>
    </xf>
    <xf numFmtId="11" fontId="0" fillId="6" borderId="1" xfId="0" applyNumberFormat="1" applyFont="1" applyFill="1" applyBorder="1" applyProtection="1">
      <protection hidden="1"/>
    </xf>
    <xf numFmtId="0" fontId="0" fillId="3" borderId="1" xfId="0" applyFont="1" applyFill="1" applyBorder="1" applyAlignment="1" applyProtection="1">
      <protection hidden="1"/>
    </xf>
    <xf numFmtId="0" fontId="0" fillId="3" borderId="14" xfId="0" applyFont="1" applyFill="1" applyBorder="1" applyProtection="1">
      <protection hidden="1"/>
    </xf>
    <xf numFmtId="0" fontId="0" fillId="3" borderId="15" xfId="0" applyFont="1" applyFill="1" applyBorder="1" applyProtection="1">
      <protection hidden="1"/>
    </xf>
    <xf numFmtId="0" fontId="0" fillId="3" borderId="15" xfId="0" applyFont="1" applyFill="1" applyBorder="1" applyAlignment="1" applyProtection="1">
      <protection hidden="1"/>
    </xf>
    <xf numFmtId="0" fontId="0" fillId="0" borderId="1" xfId="0" applyFont="1" applyFill="1" applyBorder="1" applyAlignment="1" applyProtection="1">
      <alignment horizontal="left" vertical="center"/>
      <protection hidden="1"/>
    </xf>
    <xf numFmtId="0" fontId="3" fillId="3" borderId="0" xfId="0" applyFont="1" applyFill="1" applyBorder="1" applyProtection="1">
      <protection hidden="1"/>
    </xf>
    <xf numFmtId="0" fontId="0" fillId="3" borderId="14" xfId="0" applyFont="1" applyFill="1" applyBorder="1" applyAlignment="1" applyProtection="1">
      <alignment wrapText="1"/>
      <protection hidden="1"/>
    </xf>
    <xf numFmtId="0" fontId="0" fillId="3" borderId="15" xfId="0" applyFont="1" applyFill="1" applyBorder="1" applyAlignment="1" applyProtection="1">
      <alignment wrapText="1"/>
      <protection hidden="1"/>
    </xf>
    <xf numFmtId="0" fontId="0" fillId="3" borderId="18" xfId="0" applyFont="1" applyFill="1" applyBorder="1" applyProtection="1">
      <protection hidden="1"/>
    </xf>
    <xf numFmtId="0" fontId="0" fillId="3" borderId="19" xfId="0" applyFont="1" applyFill="1" applyBorder="1" applyProtection="1">
      <protection hidden="1"/>
    </xf>
    <xf numFmtId="0" fontId="0" fillId="3" borderId="19" xfId="0" applyFont="1" applyFill="1" applyBorder="1" applyAlignment="1" applyProtection="1">
      <alignment wrapText="1"/>
      <protection hidden="1"/>
    </xf>
    <xf numFmtId="0" fontId="0" fillId="3" borderId="11" xfId="0" applyFill="1" applyBorder="1" applyProtection="1">
      <protection hidden="1"/>
    </xf>
    <xf numFmtId="0" fontId="0" fillId="3" borderId="12" xfId="0" applyFill="1" applyBorder="1" applyProtection="1">
      <protection hidden="1"/>
    </xf>
    <xf numFmtId="0" fontId="0" fillId="5" borderId="0" xfId="0" applyFont="1" applyFill="1" applyBorder="1" applyProtection="1">
      <protection hidden="1"/>
    </xf>
    <xf numFmtId="165" fontId="0" fillId="5" borderId="0" xfId="0" applyNumberFormat="1" applyFont="1" applyFill="1" applyBorder="1" applyProtection="1">
      <protection hidden="1"/>
    </xf>
    <xf numFmtId="0" fontId="0" fillId="5" borderId="0" xfId="0" applyFont="1" applyFill="1" applyBorder="1" applyAlignment="1" applyProtection="1">
      <alignment wrapText="1"/>
      <protection hidden="1"/>
    </xf>
    <xf numFmtId="0" fontId="0" fillId="5" borderId="0" xfId="0" applyFill="1" applyBorder="1" applyProtection="1">
      <protection hidden="1"/>
    </xf>
    <xf numFmtId="0" fontId="6" fillId="0" borderId="0" xfId="0" applyFont="1" applyFill="1" applyProtection="1">
      <protection hidden="1"/>
    </xf>
    <xf numFmtId="0" fontId="0" fillId="0" borderId="0" xfId="0" applyFont="1" applyProtection="1">
      <protection hidden="1"/>
    </xf>
    <xf numFmtId="167" fontId="0" fillId="0" borderId="0" xfId="0" applyNumberFormat="1" applyFont="1" applyProtection="1">
      <protection hidden="1"/>
    </xf>
    <xf numFmtId="2" fontId="0" fillId="0" borderId="0" xfId="0" applyNumberFormat="1" applyFont="1" applyProtection="1">
      <protection hidden="1"/>
    </xf>
    <xf numFmtId="167" fontId="0" fillId="0" borderId="0" xfId="0" applyNumberFormat="1" applyProtection="1">
      <protection hidden="1"/>
    </xf>
    <xf numFmtId="2" fontId="0" fillId="4" borderId="1" xfId="0" applyNumberFormat="1" applyFont="1" applyFill="1" applyBorder="1" applyProtection="1">
      <protection locked="0"/>
    </xf>
    <xf numFmtId="164" fontId="0" fillId="6" borderId="1" xfId="0" applyNumberFormat="1" applyFont="1" applyFill="1" applyBorder="1" applyProtection="1"/>
    <xf numFmtId="11" fontId="0" fillId="6" borderId="1" xfId="0" applyNumberFormat="1" applyFont="1" applyFill="1" applyBorder="1" applyProtection="1">
      <protection locked="0"/>
    </xf>
    <xf numFmtId="0" fontId="12" fillId="3" borderId="0" xfId="0" applyFont="1" applyFill="1" applyBorder="1" applyProtection="1">
      <protection hidden="1"/>
    </xf>
    <xf numFmtId="0" fontId="12" fillId="0" borderId="0" xfId="0" applyFont="1" applyFill="1" applyBorder="1" applyAlignment="1" applyProtection="1">
      <alignment wrapText="1"/>
      <protection hidden="1"/>
    </xf>
    <xf numFmtId="0" fontId="12" fillId="0" borderId="0" xfId="0" applyFont="1" applyFill="1" applyBorder="1" applyProtection="1">
      <protection hidden="1"/>
    </xf>
    <xf numFmtId="0" fontId="12" fillId="0" borderId="8" xfId="0" applyFont="1" applyFill="1" applyBorder="1" applyProtection="1">
      <protection hidden="1"/>
    </xf>
    <xf numFmtId="0" fontId="13" fillId="0" borderId="31" xfId="0" applyFont="1" applyFill="1" applyBorder="1" applyAlignment="1" applyProtection="1">
      <alignment horizontal="center" vertical="center" wrapText="1"/>
      <protection hidden="1"/>
    </xf>
    <xf numFmtId="0" fontId="13" fillId="0" borderId="31" xfId="0" applyFont="1" applyFill="1" applyBorder="1" applyAlignment="1" applyProtection="1">
      <alignment horizontal="center" vertical="center"/>
      <protection hidden="1"/>
    </xf>
    <xf numFmtId="1" fontId="13" fillId="0" borderId="31" xfId="0" applyNumberFormat="1" applyFont="1" applyFill="1" applyBorder="1" applyAlignment="1" applyProtection="1">
      <alignment horizontal="center" vertical="center"/>
      <protection hidden="1"/>
    </xf>
    <xf numFmtId="0" fontId="12" fillId="0" borderId="31" xfId="0" applyFont="1" applyFill="1" applyBorder="1" applyAlignment="1" applyProtection="1">
      <alignment horizontal="center" vertical="center" wrapText="1"/>
      <protection hidden="1"/>
    </xf>
    <xf numFmtId="1" fontId="12" fillId="0" borderId="31" xfId="0" applyNumberFormat="1" applyFont="1" applyFill="1" applyBorder="1" applyAlignment="1" applyProtection="1">
      <alignment horizontal="center" vertical="center"/>
      <protection hidden="1"/>
    </xf>
    <xf numFmtId="0" fontId="12" fillId="0" borderId="31" xfId="0" applyFont="1" applyFill="1" applyBorder="1" applyAlignment="1" applyProtection="1">
      <alignment horizontal="center" vertical="center"/>
      <protection hidden="1"/>
    </xf>
    <xf numFmtId="0" fontId="14" fillId="0" borderId="31" xfId="0" applyFont="1" applyFill="1" applyBorder="1" applyAlignment="1" applyProtection="1">
      <alignment horizontal="center" vertical="center"/>
      <protection hidden="1"/>
    </xf>
    <xf numFmtId="165" fontId="12" fillId="0" borderId="31" xfId="0" applyNumberFormat="1" applyFont="1" applyFill="1" applyBorder="1" applyAlignment="1" applyProtection="1">
      <alignment horizontal="center" vertical="center"/>
      <protection hidden="1"/>
    </xf>
    <xf numFmtId="0" fontId="12" fillId="0" borderId="31" xfId="0" applyFont="1" applyFill="1" applyBorder="1" applyAlignment="1" applyProtection="1">
      <alignment horizontal="center" vertical="center" wrapText="1"/>
      <protection locked="0"/>
    </xf>
    <xf numFmtId="0" fontId="12" fillId="0" borderId="31" xfId="0" applyFont="1" applyFill="1" applyBorder="1" applyAlignment="1" applyProtection="1">
      <alignment horizontal="center" vertical="center" wrapText="1"/>
    </xf>
    <xf numFmtId="1" fontId="12" fillId="0" borderId="31" xfId="0" applyNumberFormat="1" applyFont="1" applyFill="1" applyBorder="1" applyAlignment="1" applyProtection="1">
      <alignment horizontal="center" vertical="center" wrapText="1"/>
      <protection locked="0"/>
    </xf>
    <xf numFmtId="0" fontId="13" fillId="0" borderId="33" xfId="0" applyFont="1" applyFill="1" applyBorder="1" applyAlignment="1" applyProtection="1">
      <alignment horizontal="center" vertical="center" wrapText="1"/>
      <protection hidden="1"/>
    </xf>
    <xf numFmtId="0" fontId="0" fillId="3" borderId="32" xfId="0" applyFont="1" applyFill="1" applyBorder="1" applyAlignment="1" applyProtection="1">
      <alignment wrapText="1"/>
      <protection hidden="1"/>
    </xf>
    <xf numFmtId="0" fontId="13" fillId="0" borderId="36" xfId="0" applyFont="1" applyFill="1" applyBorder="1" applyAlignment="1" applyProtection="1">
      <alignment horizontal="center" vertical="center" wrapText="1"/>
      <protection hidden="1"/>
    </xf>
    <xf numFmtId="0" fontId="0" fillId="5" borderId="37" xfId="0" applyFill="1" applyBorder="1" applyProtection="1">
      <protection hidden="1"/>
    </xf>
    <xf numFmtId="164" fontId="0" fillId="10" borderId="1" xfId="0" applyNumberFormat="1" applyFont="1" applyFill="1" applyBorder="1" applyProtection="1">
      <protection hidden="1"/>
    </xf>
    <xf numFmtId="164" fontId="0" fillId="10" borderId="1" xfId="0" applyNumberFormat="1" applyFont="1" applyFill="1" applyBorder="1" applyAlignment="1" applyProtection="1">
      <alignment horizontal="right"/>
      <protection hidden="1"/>
    </xf>
    <xf numFmtId="0" fontId="12" fillId="0" borderId="31" xfId="0" applyFont="1" applyFill="1" applyBorder="1" applyAlignment="1" applyProtection="1">
      <alignment horizontal="center" vertical="center"/>
      <protection hidden="1"/>
    </xf>
    <xf numFmtId="0" fontId="12" fillId="0" borderId="36" xfId="0" applyFont="1" applyFill="1" applyBorder="1" applyAlignment="1" applyProtection="1">
      <alignment horizontal="center" vertical="center"/>
      <protection hidden="1"/>
    </xf>
    <xf numFmtId="0" fontId="0" fillId="3" borderId="14" xfId="0" applyFont="1" applyFill="1" applyBorder="1" applyAlignment="1" applyProtection="1">
      <alignment horizontal="left"/>
      <protection hidden="1"/>
    </xf>
    <xf numFmtId="0" fontId="0" fillId="3" borderId="29" xfId="0" applyFont="1" applyFill="1" applyBorder="1" applyAlignment="1" applyProtection="1">
      <alignment horizontal="left"/>
      <protection hidden="1"/>
    </xf>
    <xf numFmtId="0" fontId="0" fillId="4" borderId="15" xfId="0" applyFont="1" applyFill="1" applyBorder="1" applyAlignment="1" applyProtection="1">
      <alignment horizontal="right"/>
      <protection locked="0"/>
    </xf>
    <xf numFmtId="0" fontId="0" fillId="4" borderId="30" xfId="0" applyFont="1" applyFill="1" applyBorder="1" applyAlignment="1" applyProtection="1">
      <alignment horizontal="right"/>
      <protection locked="0"/>
    </xf>
    <xf numFmtId="0" fontId="0" fillId="3" borderId="15" xfId="0" applyFont="1" applyFill="1" applyBorder="1" applyAlignment="1" applyProtection="1">
      <alignment horizontal="center"/>
      <protection hidden="1"/>
    </xf>
    <xf numFmtId="0" fontId="0" fillId="3" borderId="30" xfId="0" applyFont="1" applyFill="1" applyBorder="1" applyAlignment="1" applyProtection="1">
      <alignment horizontal="center"/>
      <protection hidden="1"/>
    </xf>
    <xf numFmtId="0" fontId="0" fillId="3" borderId="34" xfId="0" applyFont="1" applyFill="1" applyBorder="1" applyAlignment="1" applyProtection="1">
      <alignment horizontal="left" wrapText="1"/>
      <protection hidden="1"/>
    </xf>
    <xf numFmtId="0" fontId="0" fillId="3" borderId="35" xfId="0" applyFont="1" applyFill="1" applyBorder="1" applyAlignment="1" applyProtection="1">
      <alignment horizontal="left" wrapText="1"/>
      <protection hidden="1"/>
    </xf>
    <xf numFmtId="0" fontId="12" fillId="0" borderId="33" xfId="0" applyFont="1" applyFill="1" applyBorder="1" applyAlignment="1" applyProtection="1">
      <alignment horizontal="center" vertical="center"/>
      <protection hidden="1"/>
    </xf>
    <xf numFmtId="11" fontId="0" fillId="4" borderId="15" xfId="0" applyNumberFormat="1" applyFont="1" applyFill="1" applyBorder="1" applyAlignment="1" applyProtection="1">
      <alignment horizontal="right"/>
      <protection locked="0"/>
    </xf>
    <xf numFmtId="11" fontId="0" fillId="4" borderId="30" xfId="0" applyNumberFormat="1" applyFont="1" applyFill="1" applyBorder="1" applyAlignment="1" applyProtection="1">
      <alignment horizontal="right"/>
      <protection locked="0"/>
    </xf>
    <xf numFmtId="0" fontId="0" fillId="3" borderId="15" xfId="0" applyFont="1" applyFill="1" applyBorder="1" applyAlignment="1" applyProtection="1">
      <alignment horizontal="left"/>
      <protection hidden="1"/>
    </xf>
    <xf numFmtId="0" fontId="0" fillId="3" borderId="30" xfId="0" applyFont="1" applyFill="1" applyBorder="1" applyAlignment="1" applyProtection="1">
      <alignment horizontal="left"/>
      <protection hidden="1"/>
    </xf>
    <xf numFmtId="0" fontId="9" fillId="3" borderId="14" xfId="0" applyFont="1" applyFill="1" applyBorder="1" applyAlignment="1" applyProtection="1">
      <alignment horizontal="left"/>
      <protection hidden="1"/>
    </xf>
    <xf numFmtId="0" fontId="9" fillId="3" borderId="29" xfId="0" applyFont="1" applyFill="1" applyBorder="1" applyAlignment="1" applyProtection="1">
      <alignment horizontal="left"/>
      <protection hidden="1"/>
    </xf>
    <xf numFmtId="11" fontId="0" fillId="10" borderId="15" xfId="0" applyNumberFormat="1" applyFont="1" applyFill="1" applyBorder="1" applyAlignment="1" applyProtection="1">
      <alignment horizontal="right"/>
      <protection hidden="1"/>
    </xf>
    <xf numFmtId="11" fontId="0" fillId="10" borderId="30" xfId="0" applyNumberFormat="1" applyFont="1" applyFill="1" applyBorder="1" applyAlignment="1" applyProtection="1">
      <alignment horizontal="right"/>
      <protection hidden="1"/>
    </xf>
    <xf numFmtId="0" fontId="12" fillId="0" borderId="33" xfId="0" applyFont="1" applyFill="1" applyBorder="1" applyAlignment="1" applyProtection="1">
      <alignment horizontal="center" vertical="center" wrapText="1"/>
      <protection hidden="1"/>
    </xf>
    <xf numFmtId="4" fontId="0" fillId="4" borderId="15" xfId="0" applyNumberFormat="1" applyFont="1" applyFill="1" applyBorder="1" applyAlignment="1" applyProtection="1">
      <alignment horizontal="right"/>
      <protection locked="0"/>
    </xf>
    <xf numFmtId="4" fontId="0" fillId="4" borderId="30" xfId="0" applyNumberFormat="1" applyFont="1" applyFill="1" applyBorder="1" applyAlignment="1" applyProtection="1">
      <alignment horizontal="right"/>
      <protection locked="0"/>
    </xf>
    <xf numFmtId="168" fontId="0" fillId="4" borderId="15" xfId="0" applyNumberFormat="1" applyFont="1" applyFill="1" applyBorder="1" applyAlignment="1" applyProtection="1">
      <alignment horizontal="right"/>
      <protection locked="0"/>
    </xf>
    <xf numFmtId="168" fontId="0" fillId="4" borderId="30" xfId="0" applyNumberFormat="1" applyFont="1" applyFill="1" applyBorder="1" applyAlignment="1" applyProtection="1">
      <alignment horizontal="right"/>
      <protection locked="0"/>
    </xf>
    <xf numFmtId="0" fontId="0" fillId="3" borderId="7" xfId="0" applyFill="1" applyBorder="1" applyAlignment="1" applyProtection="1">
      <protection hidden="1"/>
    </xf>
    <xf numFmtId="0" fontId="0" fillId="3" borderId="0" xfId="0" applyFill="1" applyBorder="1" applyAlignment="1" applyProtection="1">
      <protection hidden="1"/>
    </xf>
    <xf numFmtId="0" fontId="7" fillId="3" borderId="4" xfId="0" applyFont="1" applyFill="1" applyBorder="1" applyAlignment="1" applyProtection="1">
      <alignment horizontal="center"/>
      <protection hidden="1"/>
    </xf>
    <xf numFmtId="0" fontId="7" fillId="3" borderId="5" xfId="0" applyFont="1" applyFill="1" applyBorder="1" applyAlignment="1" applyProtection="1">
      <alignment horizontal="center"/>
      <protection hidden="1"/>
    </xf>
    <xf numFmtId="0" fontId="7" fillId="3" borderId="6" xfId="0" applyFont="1" applyFill="1" applyBorder="1" applyAlignment="1" applyProtection="1">
      <alignment horizontal="center"/>
      <protection hidden="1"/>
    </xf>
    <xf numFmtId="0" fontId="0" fillId="3" borderId="7" xfId="0" applyFont="1" applyFill="1" applyBorder="1" applyAlignment="1" applyProtection="1">
      <alignment horizontal="center"/>
      <protection hidden="1"/>
    </xf>
    <xf numFmtId="0" fontId="0" fillId="3" borderId="0" xfId="0" applyFont="1" applyFill="1" applyBorder="1" applyAlignment="1" applyProtection="1">
      <alignment horizontal="center"/>
      <protection hidden="1"/>
    </xf>
    <xf numFmtId="0" fontId="0" fillId="3" borderId="8" xfId="0" applyFont="1" applyFill="1" applyBorder="1" applyAlignment="1" applyProtection="1">
      <alignment horizontal="center"/>
      <protection hidden="1"/>
    </xf>
    <xf numFmtId="0" fontId="0" fillId="3" borderId="7" xfId="0" applyFill="1" applyBorder="1" applyAlignment="1" applyProtection="1">
      <alignment horizontal="left" wrapText="1"/>
      <protection hidden="1"/>
    </xf>
    <xf numFmtId="0" fontId="0" fillId="3" borderId="0" xfId="0" applyFill="1" applyBorder="1" applyAlignment="1" applyProtection="1">
      <alignment horizontal="left" wrapText="1"/>
      <protection hidden="1"/>
    </xf>
    <xf numFmtId="0" fontId="0" fillId="3" borderId="8" xfId="0" applyFill="1" applyBorder="1" applyAlignment="1" applyProtection="1">
      <alignment horizontal="left" wrapText="1"/>
      <protection hidden="1"/>
    </xf>
    <xf numFmtId="0" fontId="0" fillId="3" borderId="15" xfId="0" applyFont="1" applyFill="1" applyBorder="1" applyAlignment="1" applyProtection="1">
      <alignment horizontal="left" wrapText="1"/>
      <protection hidden="1"/>
    </xf>
    <xf numFmtId="0" fontId="0" fillId="3" borderId="30" xfId="0" applyFont="1" applyFill="1" applyBorder="1" applyAlignment="1" applyProtection="1">
      <alignment horizontal="left" wrapText="1"/>
      <protection hidden="1"/>
    </xf>
    <xf numFmtId="0" fontId="5" fillId="7" borderId="1" xfId="0" applyFont="1" applyFill="1" applyBorder="1" applyAlignment="1" applyProtection="1">
      <alignment horizontal="center" vertical="center"/>
      <protection hidden="1"/>
    </xf>
    <xf numFmtId="0" fontId="5" fillId="7" borderId="16" xfId="0" applyFont="1" applyFill="1" applyBorder="1" applyAlignment="1" applyProtection="1">
      <alignment horizontal="center" vertical="center"/>
      <protection hidden="1"/>
    </xf>
    <xf numFmtId="0" fontId="5" fillId="7" borderId="9" xfId="0" applyFont="1" applyFill="1" applyBorder="1" applyAlignment="1" applyProtection="1">
      <alignment horizontal="center" vertical="center"/>
      <protection hidden="1"/>
    </xf>
    <xf numFmtId="0" fontId="5" fillId="7" borderId="3" xfId="0" applyFont="1" applyFill="1" applyBorder="1" applyAlignment="1" applyProtection="1">
      <alignment horizontal="center" vertical="center"/>
      <protection hidden="1"/>
    </xf>
    <xf numFmtId="0" fontId="5" fillId="7" borderId="2" xfId="0" applyFont="1" applyFill="1" applyBorder="1" applyAlignment="1" applyProtection="1">
      <alignment horizontal="center" vertical="center"/>
      <protection hidden="1"/>
    </xf>
    <xf numFmtId="0" fontId="5" fillId="7" borderId="17" xfId="0" applyFont="1" applyFill="1" applyBorder="1" applyAlignment="1" applyProtection="1">
      <alignment horizontal="center" vertical="center"/>
      <protection hidden="1"/>
    </xf>
    <xf numFmtId="0" fontId="5" fillId="7" borderId="10" xfId="0" applyFont="1" applyFill="1" applyBorder="1" applyAlignment="1" applyProtection="1">
      <alignment horizontal="center" vertical="center"/>
      <protection hidden="1"/>
    </xf>
    <xf numFmtId="0" fontId="13" fillId="0" borderId="0" xfId="0" applyFont="1" applyFill="1" applyBorder="1" applyAlignment="1" applyProtection="1">
      <alignment horizontal="center" vertical="center"/>
      <protection hidden="1"/>
    </xf>
    <xf numFmtId="0" fontId="13" fillId="0" borderId="8" xfId="0" applyFont="1" applyFill="1" applyBorder="1" applyAlignment="1" applyProtection="1">
      <alignment horizontal="center" vertical="center"/>
      <protection hidden="1"/>
    </xf>
    <xf numFmtId="165" fontId="0" fillId="4" borderId="15" xfId="1" applyNumberFormat="1" applyFont="1" applyFill="1" applyBorder="1" applyAlignment="1" applyProtection="1">
      <alignment horizontal="right"/>
      <protection locked="0"/>
    </xf>
    <xf numFmtId="165" fontId="0" fillId="4" borderId="30" xfId="1" applyNumberFormat="1" applyFont="1" applyFill="1" applyBorder="1" applyAlignment="1" applyProtection="1">
      <alignment horizontal="right"/>
      <protection locked="0"/>
    </xf>
    <xf numFmtId="0" fontId="5" fillId="8" borderId="21" xfId="0" applyFont="1" applyFill="1" applyBorder="1" applyAlignment="1">
      <alignment horizontal="center"/>
    </xf>
    <xf numFmtId="0" fontId="5" fillId="8" borderId="22" xfId="0" applyFont="1" applyFill="1" applyBorder="1" applyAlignment="1">
      <alignment horizontal="center"/>
    </xf>
    <xf numFmtId="0" fontId="5" fillId="8" borderId="23" xfId="0" applyFont="1" applyFill="1" applyBorder="1" applyAlignment="1">
      <alignment horizontal="center"/>
    </xf>
  </cellXfs>
  <cellStyles count="2">
    <cellStyle name="Normal" xfId="0" builtinId="0"/>
    <cellStyle name="Percent" xfId="1" builtinId="5"/>
  </cellStyles>
  <dxfs count="13">
    <dxf>
      <font>
        <b/>
        <i val="0"/>
        <color rgb="FFFF0000"/>
      </font>
    </dxf>
    <dxf>
      <fill>
        <patternFill>
          <bgColor theme="0" tint="-0.24994659260841701"/>
        </patternFill>
      </fill>
    </dxf>
    <dxf>
      <fill>
        <patternFill>
          <bgColor theme="9" tint="0.39994506668294322"/>
        </patternFill>
      </fill>
    </dxf>
    <dxf>
      <fill>
        <patternFill>
          <bgColor theme="0" tint="-0.14996795556505021"/>
        </patternFill>
      </fill>
    </dxf>
    <dxf>
      <fill>
        <patternFill>
          <bgColor rgb="FF00FF00"/>
        </patternFill>
      </fill>
    </dxf>
    <dxf>
      <fill>
        <patternFill>
          <bgColor theme="0" tint="-0.24994659260841701"/>
        </patternFill>
      </fill>
    </dxf>
    <dxf>
      <fill>
        <patternFill>
          <bgColor rgb="FF00FF00"/>
        </patternFill>
      </fill>
    </dxf>
    <dxf>
      <fill>
        <patternFill>
          <bgColor theme="0" tint="-0.24994659260841701"/>
        </patternFill>
      </fill>
    </dxf>
    <dxf>
      <fill>
        <patternFill>
          <bgColor theme="9" tint="0.39994506668294322"/>
        </patternFill>
      </fill>
    </dxf>
    <dxf>
      <fill>
        <patternFill>
          <bgColor rgb="FF00FF00"/>
        </patternFill>
      </fill>
    </dxf>
    <dxf>
      <fill>
        <patternFill>
          <bgColor theme="0" tint="-0.24994659260841701"/>
        </patternFill>
      </fill>
    </dxf>
    <dxf>
      <fill>
        <patternFill>
          <bgColor theme="0" tint="-0.24994659260841701"/>
        </patternFill>
      </fill>
    </dxf>
    <dxf>
      <fill>
        <patternFill>
          <bgColor theme="9" tint="0.39994506668294322"/>
        </patternFill>
      </fill>
    </dxf>
  </dxfs>
  <tableStyles count="0" defaultTableStyle="TableStyleMedium9"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Open Loop Bode Plot</a:t>
            </a:r>
          </a:p>
        </c:rich>
      </c:tx>
      <c:layout>
        <c:manualLayout>
          <c:xMode val="edge"/>
          <c:yMode val="edge"/>
          <c:x val="0.33683336621269838"/>
          <c:y val="2.5442171813234427E-2"/>
        </c:manualLayout>
      </c:layout>
      <c:overlay val="0"/>
    </c:title>
    <c:autoTitleDeleted val="0"/>
    <c:plotArea>
      <c:layout>
        <c:manualLayout>
          <c:layoutTarget val="inner"/>
          <c:xMode val="edge"/>
          <c:yMode val="edge"/>
          <c:x val="0.10351211695000362"/>
          <c:y val="0.13133721433927467"/>
          <c:w val="0.77930176740855439"/>
          <c:h val="0.71510376866900049"/>
        </c:manualLayout>
      </c:layout>
      <c:scatterChart>
        <c:scatterStyle val="smoothMarker"/>
        <c:varyColors val="0"/>
        <c:ser>
          <c:idx val="0"/>
          <c:order val="0"/>
          <c:tx>
            <c:v>gain</c:v>
          </c:tx>
          <c:marker>
            <c:symbol val="none"/>
          </c:marker>
          <c:xVal>
            <c:numRef>
              <c:f>'Frequency Response Calculation'!$B$3:$B$43</c:f>
              <c:numCache>
                <c:formatCode>#,##0</c:formatCode>
                <c:ptCount val="41"/>
                <c:pt idx="0">
                  <c:v>100</c:v>
                </c:pt>
                <c:pt idx="1">
                  <c:v>125.8925411794168</c:v>
                </c:pt>
                <c:pt idx="2">
                  <c:v>158.48931924611136</c:v>
                </c:pt>
                <c:pt idx="3">
                  <c:v>199.52623149688804</c:v>
                </c:pt>
                <c:pt idx="4">
                  <c:v>251.188643150958</c:v>
                </c:pt>
                <c:pt idx="5">
                  <c:v>316.22776601683802</c:v>
                </c:pt>
                <c:pt idx="6">
                  <c:v>398.10717055349755</c:v>
                </c:pt>
                <c:pt idx="7">
                  <c:v>501.18723362727235</c:v>
                </c:pt>
                <c:pt idx="8">
                  <c:v>630.95734448019368</c:v>
                </c:pt>
                <c:pt idx="9">
                  <c:v>794.32823472428197</c:v>
                </c:pt>
                <c:pt idx="10">
                  <c:v>1000</c:v>
                </c:pt>
                <c:pt idx="11">
                  <c:v>1258.9254117941678</c:v>
                </c:pt>
                <c:pt idx="12">
                  <c:v>1584.8931924611154</c:v>
                </c:pt>
                <c:pt idx="13">
                  <c:v>1995.2623149688802</c:v>
                </c:pt>
                <c:pt idx="14">
                  <c:v>2511.8864315095807</c:v>
                </c:pt>
                <c:pt idx="15">
                  <c:v>3162.2776601683827</c:v>
                </c:pt>
                <c:pt idx="16">
                  <c:v>3981.071705534976</c:v>
                </c:pt>
                <c:pt idx="17">
                  <c:v>5011.8723362727269</c:v>
                </c:pt>
                <c:pt idx="18">
                  <c:v>6309.5734448019321</c:v>
                </c:pt>
                <c:pt idx="19">
                  <c:v>7943.2823472428208</c:v>
                </c:pt>
                <c:pt idx="20">
                  <c:v>10000</c:v>
                </c:pt>
                <c:pt idx="21">
                  <c:v>12589.25411794168</c:v>
                </c:pt>
                <c:pt idx="22">
                  <c:v>15848.931924611155</c:v>
                </c:pt>
                <c:pt idx="23">
                  <c:v>19952.623149688803</c:v>
                </c:pt>
                <c:pt idx="24">
                  <c:v>25118.864315095812</c:v>
                </c:pt>
                <c:pt idx="25">
                  <c:v>31622.776601683803</c:v>
                </c:pt>
                <c:pt idx="26">
                  <c:v>39810.717055349771</c:v>
                </c:pt>
                <c:pt idx="27">
                  <c:v>50118.723362727324</c:v>
                </c:pt>
                <c:pt idx="28">
                  <c:v>63095.734448019386</c:v>
                </c:pt>
                <c:pt idx="29">
                  <c:v>79432.82347242815</c:v>
                </c:pt>
                <c:pt idx="30">
                  <c:v>100000</c:v>
                </c:pt>
                <c:pt idx="31">
                  <c:v>125892.54117941672</c:v>
                </c:pt>
                <c:pt idx="32">
                  <c:v>158489.31924611147</c:v>
                </c:pt>
                <c:pt idx="33">
                  <c:v>199526.23149688792</c:v>
                </c:pt>
                <c:pt idx="34">
                  <c:v>251188.64315095858</c:v>
                </c:pt>
                <c:pt idx="35">
                  <c:v>316227.76601683837</c:v>
                </c:pt>
                <c:pt idx="36">
                  <c:v>398107.17055349739</c:v>
                </c:pt>
                <c:pt idx="37">
                  <c:v>501187.23362727294</c:v>
                </c:pt>
                <c:pt idx="38">
                  <c:v>630957.34448019345</c:v>
                </c:pt>
                <c:pt idx="39">
                  <c:v>794328.2347242824</c:v>
                </c:pt>
                <c:pt idx="40">
                  <c:v>1000000</c:v>
                </c:pt>
              </c:numCache>
            </c:numRef>
          </c:xVal>
          <c:yVal>
            <c:numRef>
              <c:f>'Frequency Response Calculation'!$AC$3:$AC$43</c:f>
              <c:numCache>
                <c:formatCode>0.0000</c:formatCode>
                <c:ptCount val="41"/>
                <c:pt idx="0">
                  <c:v>41.401667380415155</c:v>
                </c:pt>
                <c:pt idx="1">
                  <c:v>39.395957080396649</c:v>
                </c:pt>
                <c:pt idx="2">
                  <c:v>37.385278823507946</c:v>
                </c:pt>
                <c:pt idx="3">
                  <c:v>35.367418112472443</c:v>
                </c:pt>
                <c:pt idx="4">
                  <c:v>33.338744153819121</c:v>
                </c:pt>
                <c:pt idx="5">
                  <c:v>31.293618011129258</c:v>
                </c:pt>
                <c:pt idx="6">
                  <c:v>29.223629178630276</c:v>
                </c:pt>
                <c:pt idx="7">
                  <c:v>27.116816093676583</c:v>
                </c:pt>
                <c:pt idx="8">
                  <c:v>24.957325545669079</c:v>
                </c:pt>
                <c:pt idx="9">
                  <c:v>22.726456081188033</c:v>
                </c:pt>
                <c:pt idx="10">
                  <c:v>20.406460152171594</c:v>
                </c:pt>
                <c:pt idx="11">
                  <c:v>17.98799856305935</c:v>
                </c:pt>
                <c:pt idx="12">
                  <c:v>15.479609379084149</c:v>
                </c:pt>
                <c:pt idx="13">
                  <c:v>12.913588167843779</c:v>
                </c:pt>
                <c:pt idx="14">
                  <c:v>10.341652138491346</c:v>
                </c:pt>
                <c:pt idx="15">
                  <c:v>7.8198902214341768</c:v>
                </c:pt>
                <c:pt idx="16">
                  <c:v>5.391670731169703</c:v>
                </c:pt>
                <c:pt idx="17">
                  <c:v>3.0791951285800652</c:v>
                </c:pt>
                <c:pt idx="18">
                  <c:v>0.88674024876962898</c:v>
                </c:pt>
                <c:pt idx="19">
                  <c:v>-1.1898588752324442</c:v>
                </c:pt>
                <c:pt idx="20">
                  <c:v>-3.1548260655995533</c:v>
                </c:pt>
                <c:pt idx="21">
                  <c:v>-5.0097837283297055</c:v>
                </c:pt>
                <c:pt idx="22">
                  <c:v>-6.7592426464540614</c:v>
                </c:pt>
                <c:pt idx="23">
                  <c:v>-8.425981259491266</c:v>
                </c:pt>
                <c:pt idx="24">
                  <c:v>-10.075119811593023</c:v>
                </c:pt>
                <c:pt idx="25">
                  <c:v>-11.834765518181424</c:v>
                </c:pt>
                <c:pt idx="26">
                  <c:v>-13.883713143568711</c:v>
                </c:pt>
                <c:pt idx="27">
                  <c:v>-16.384393628586668</c:v>
                </c:pt>
                <c:pt idx="28">
                  <c:v>-19.408234201969016</c:v>
                </c:pt>
                <c:pt idx="29">
                  <c:v>-22.936211327059681</c:v>
                </c:pt>
                <c:pt idx="30">
                  <c:v>-26.916789173837497</c:v>
                </c:pt>
                <c:pt idx="31">
                  <c:v>-31.301980755723761</c:v>
                </c:pt>
                <c:pt idx="32">
                  <c:v>-36.045858895168841</c:v>
                </c:pt>
                <c:pt idx="33">
                  <c:v>-41.093898899104445</c:v>
                </c:pt>
                <c:pt idx="34">
                  <c:v>-46.380815501469385</c:v>
                </c:pt>
                <c:pt idx="35">
                  <c:v>-51.836963840929471</c:v>
                </c:pt>
                <c:pt idx="36">
                  <c:v>-57.397297149060421</c:v>
                </c:pt>
                <c:pt idx="37">
                  <c:v>-63.009063561748839</c:v>
                </c:pt>
                <c:pt idx="38">
                  <c:v>-68.637737750928835</c:v>
                </c:pt>
                <c:pt idx="39">
                  <c:v>-74.270666269158369</c:v>
                </c:pt>
                <c:pt idx="40">
                  <c:v>-79.915651379175131</c:v>
                </c:pt>
              </c:numCache>
            </c:numRef>
          </c:yVal>
          <c:smooth val="1"/>
          <c:extLst>
            <c:ext xmlns:c16="http://schemas.microsoft.com/office/drawing/2014/chart" uri="{C3380CC4-5D6E-409C-BE32-E72D297353CC}">
              <c16:uniqueId val="{00000000-91C2-4F71-BB6A-99D564D2F4C1}"/>
            </c:ext>
          </c:extLst>
        </c:ser>
        <c:dLbls>
          <c:showLegendKey val="0"/>
          <c:showVal val="0"/>
          <c:showCatName val="0"/>
          <c:showSerName val="0"/>
          <c:showPercent val="0"/>
          <c:showBubbleSize val="0"/>
        </c:dLbls>
        <c:axId val="122482048"/>
        <c:axId val="122484224"/>
      </c:scatterChart>
      <c:scatterChart>
        <c:scatterStyle val="smoothMarker"/>
        <c:varyColors val="0"/>
        <c:ser>
          <c:idx val="1"/>
          <c:order val="1"/>
          <c:tx>
            <c:v>phase</c:v>
          </c:tx>
          <c:marker>
            <c:symbol val="none"/>
          </c:marker>
          <c:xVal>
            <c:numRef>
              <c:f>'Frequency Response Calculation'!$B$3:$B$43</c:f>
              <c:numCache>
                <c:formatCode>#,##0</c:formatCode>
                <c:ptCount val="41"/>
                <c:pt idx="0">
                  <c:v>100</c:v>
                </c:pt>
                <c:pt idx="1">
                  <c:v>125.8925411794168</c:v>
                </c:pt>
                <c:pt idx="2">
                  <c:v>158.48931924611136</c:v>
                </c:pt>
                <c:pt idx="3">
                  <c:v>199.52623149688804</c:v>
                </c:pt>
                <c:pt idx="4">
                  <c:v>251.188643150958</c:v>
                </c:pt>
                <c:pt idx="5">
                  <c:v>316.22776601683802</c:v>
                </c:pt>
                <c:pt idx="6">
                  <c:v>398.10717055349755</c:v>
                </c:pt>
                <c:pt idx="7">
                  <c:v>501.18723362727235</c:v>
                </c:pt>
                <c:pt idx="8">
                  <c:v>630.95734448019368</c:v>
                </c:pt>
                <c:pt idx="9">
                  <c:v>794.32823472428197</c:v>
                </c:pt>
                <c:pt idx="10">
                  <c:v>1000</c:v>
                </c:pt>
                <c:pt idx="11">
                  <c:v>1258.9254117941678</c:v>
                </c:pt>
                <c:pt idx="12">
                  <c:v>1584.8931924611154</c:v>
                </c:pt>
                <c:pt idx="13">
                  <c:v>1995.2623149688802</c:v>
                </c:pt>
                <c:pt idx="14">
                  <c:v>2511.8864315095807</c:v>
                </c:pt>
                <c:pt idx="15">
                  <c:v>3162.2776601683827</c:v>
                </c:pt>
                <c:pt idx="16">
                  <c:v>3981.071705534976</c:v>
                </c:pt>
                <c:pt idx="17">
                  <c:v>5011.8723362727269</c:v>
                </c:pt>
                <c:pt idx="18">
                  <c:v>6309.5734448019321</c:v>
                </c:pt>
                <c:pt idx="19">
                  <c:v>7943.2823472428208</c:v>
                </c:pt>
                <c:pt idx="20">
                  <c:v>10000</c:v>
                </c:pt>
                <c:pt idx="21">
                  <c:v>12589.25411794168</c:v>
                </c:pt>
                <c:pt idx="22">
                  <c:v>15848.931924611155</c:v>
                </c:pt>
                <c:pt idx="23">
                  <c:v>19952.623149688803</c:v>
                </c:pt>
                <c:pt idx="24">
                  <c:v>25118.864315095812</c:v>
                </c:pt>
                <c:pt idx="25">
                  <c:v>31622.776601683803</c:v>
                </c:pt>
                <c:pt idx="26">
                  <c:v>39810.717055349771</c:v>
                </c:pt>
                <c:pt idx="27">
                  <c:v>50118.723362727324</c:v>
                </c:pt>
                <c:pt idx="28">
                  <c:v>63095.734448019386</c:v>
                </c:pt>
                <c:pt idx="29">
                  <c:v>79432.82347242815</c:v>
                </c:pt>
                <c:pt idx="30">
                  <c:v>100000</c:v>
                </c:pt>
                <c:pt idx="31">
                  <c:v>125892.54117941672</c:v>
                </c:pt>
                <c:pt idx="32">
                  <c:v>158489.31924611147</c:v>
                </c:pt>
                <c:pt idx="33">
                  <c:v>199526.23149688792</c:v>
                </c:pt>
                <c:pt idx="34">
                  <c:v>251188.64315095858</c:v>
                </c:pt>
                <c:pt idx="35">
                  <c:v>316227.76601683837</c:v>
                </c:pt>
                <c:pt idx="36">
                  <c:v>398107.17055349739</c:v>
                </c:pt>
                <c:pt idx="37">
                  <c:v>501187.23362727294</c:v>
                </c:pt>
                <c:pt idx="38">
                  <c:v>630957.34448019345</c:v>
                </c:pt>
                <c:pt idx="39">
                  <c:v>794328.2347242824</c:v>
                </c:pt>
                <c:pt idx="40">
                  <c:v>1000000</c:v>
                </c:pt>
              </c:numCache>
            </c:numRef>
          </c:xVal>
          <c:yVal>
            <c:numRef>
              <c:f>'Frequency Response Calculation'!$AD$3:$AD$43</c:f>
              <c:numCache>
                <c:formatCode>0.0000</c:formatCode>
                <c:ptCount val="41"/>
                <c:pt idx="0">
                  <c:v>89.952176975185267</c:v>
                </c:pt>
                <c:pt idx="1">
                  <c:v>89.061459997472454</c:v>
                </c:pt>
                <c:pt idx="2">
                  <c:v>88.124443855500303</c:v>
                </c:pt>
                <c:pt idx="3">
                  <c:v>87.09505849148951</c:v>
                </c:pt>
                <c:pt idx="4">
                  <c:v>85.925874432618784</c:v>
                </c:pt>
                <c:pt idx="5">
                  <c:v>84.568893708131881</c:v>
                </c:pt>
                <c:pt idx="6">
                  <c:v>82.979019088855793</c:v>
                </c:pt>
                <c:pt idx="7">
                  <c:v>81.122051834323415</c:v>
                </c:pt>
                <c:pt idx="8">
                  <c:v>78.989283554147462</c:v>
                </c:pt>
                <c:pt idx="9">
                  <c:v>76.619121671165288</c:v>
                </c:pt>
                <c:pt idx="10">
                  <c:v>74.120354149645806</c:v>
                </c:pt>
                <c:pt idx="11">
                  <c:v>71.680848895956956</c:v>
                </c:pt>
                <c:pt idx="12">
                  <c:v>69.537174660765771</c:v>
                </c:pt>
                <c:pt idx="13">
                  <c:v>67.892950058686424</c:v>
                </c:pt>
                <c:pt idx="14">
                  <c:v>66.814496423376298</c:v>
                </c:pt>
                <c:pt idx="15">
                  <c:v>66.167966219807113</c:v>
                </c:pt>
                <c:pt idx="16">
                  <c:v>65.642069234959166</c:v>
                </c:pt>
                <c:pt idx="17">
                  <c:v>64.833439147550834</c:v>
                </c:pt>
                <c:pt idx="18">
                  <c:v>63.328076625881877</c:v>
                </c:pt>
                <c:pt idx="19">
                  <c:v>60.730926916827819</c:v>
                </c:pt>
                <c:pt idx="20">
                  <c:v>56.640903807144049</c:v>
                </c:pt>
                <c:pt idx="21">
                  <c:v>50.595205237004855</c:v>
                </c:pt>
                <c:pt idx="22">
                  <c:v>42.013432161435503</c:v>
                </c:pt>
                <c:pt idx="23">
                  <c:v>30.182883552498332</c:v>
                </c:pt>
                <c:pt idx="24">
                  <c:v>14.352216511827828</c:v>
                </c:pt>
                <c:pt idx="25">
                  <c:v>-5.9912366479396351</c:v>
                </c:pt>
                <c:pt idx="26">
                  <c:v>-30.69801356862088</c:v>
                </c:pt>
                <c:pt idx="27">
                  <c:v>-58.720238438250682</c:v>
                </c:pt>
                <c:pt idx="28">
                  <c:v>-88.468659885789052</c:v>
                </c:pt>
                <c:pt idx="29">
                  <c:v>-118.51539494554802</c:v>
                </c:pt>
                <c:pt idx="30">
                  <c:v>-147.96630688967045</c:v>
                </c:pt>
                <c:pt idx="31">
                  <c:v>-176.4093313737992</c:v>
                </c:pt>
                <c:pt idx="32">
                  <c:v>-203.77323160508362</c:v>
                </c:pt>
                <c:pt idx="33">
                  <c:v>-230.26705428956075</c:v>
                </c:pt>
                <c:pt idx="34">
                  <c:v>-256.38175220558611</c:v>
                </c:pt>
                <c:pt idx="35">
                  <c:v>-282.90237937455117</c:v>
                </c:pt>
                <c:pt idx="36">
                  <c:v>-310.9114393375487</c:v>
                </c:pt>
                <c:pt idx="37">
                  <c:v>-319.02343552580066</c:v>
                </c:pt>
                <c:pt idx="38">
                  <c:v>-325.26166321195592</c:v>
                </c:pt>
                <c:pt idx="39">
                  <c:v>-330.49750258346887</c:v>
                </c:pt>
                <c:pt idx="40">
                  <c:v>-335.09897257761378</c:v>
                </c:pt>
              </c:numCache>
            </c:numRef>
          </c:yVal>
          <c:smooth val="1"/>
          <c:extLst>
            <c:ext xmlns:c16="http://schemas.microsoft.com/office/drawing/2014/chart" uri="{C3380CC4-5D6E-409C-BE32-E72D297353CC}">
              <c16:uniqueId val="{00000001-91C2-4F71-BB6A-99D564D2F4C1}"/>
            </c:ext>
          </c:extLst>
        </c:ser>
        <c:dLbls>
          <c:showLegendKey val="0"/>
          <c:showVal val="0"/>
          <c:showCatName val="0"/>
          <c:showSerName val="0"/>
          <c:showPercent val="0"/>
          <c:showBubbleSize val="0"/>
        </c:dLbls>
        <c:axId val="120784384"/>
        <c:axId val="122486144"/>
      </c:scatterChart>
      <c:valAx>
        <c:axId val="122482048"/>
        <c:scaling>
          <c:logBase val="10"/>
          <c:orientation val="minMax"/>
          <c:min val="100"/>
        </c:scaling>
        <c:delete val="0"/>
        <c:axPos val="b"/>
        <c:minorGridlines/>
        <c:title>
          <c:tx>
            <c:rich>
              <a:bodyPr/>
              <a:lstStyle/>
              <a:p>
                <a:pPr>
                  <a:defRPr/>
                </a:pPr>
                <a:r>
                  <a:rPr lang="en-US" sz="1600"/>
                  <a:t>Frequency</a:t>
                </a:r>
              </a:p>
            </c:rich>
          </c:tx>
          <c:overlay val="0"/>
        </c:title>
        <c:numFmt formatCode="#,##0" sourceLinked="0"/>
        <c:majorTickMark val="out"/>
        <c:minorTickMark val="out"/>
        <c:tickLblPos val="nextTo"/>
        <c:crossAx val="122484224"/>
        <c:crossesAt val="-40"/>
        <c:crossBetween val="midCat"/>
      </c:valAx>
      <c:valAx>
        <c:axId val="122484224"/>
        <c:scaling>
          <c:orientation val="minMax"/>
          <c:max val="50"/>
          <c:min val="-40"/>
        </c:scaling>
        <c:delete val="0"/>
        <c:axPos val="l"/>
        <c:majorGridlines/>
        <c:title>
          <c:tx>
            <c:rich>
              <a:bodyPr rot="-5400000" vert="horz"/>
              <a:lstStyle/>
              <a:p>
                <a:pPr>
                  <a:defRPr/>
                </a:pPr>
                <a:r>
                  <a:rPr lang="en-US" sz="1600"/>
                  <a:t>Gain (dB)</a:t>
                </a:r>
              </a:p>
            </c:rich>
          </c:tx>
          <c:layout>
            <c:manualLayout>
              <c:xMode val="edge"/>
              <c:yMode val="edge"/>
              <c:x val="1.2668055197675866E-2"/>
              <c:y val="0.39258165896075209"/>
            </c:manualLayout>
          </c:layout>
          <c:overlay val="0"/>
        </c:title>
        <c:numFmt formatCode="0" sourceLinked="0"/>
        <c:majorTickMark val="out"/>
        <c:minorTickMark val="none"/>
        <c:tickLblPos val="nextTo"/>
        <c:crossAx val="122482048"/>
        <c:crossesAt val="100"/>
        <c:crossBetween val="midCat"/>
        <c:majorUnit val="5"/>
      </c:valAx>
      <c:valAx>
        <c:axId val="122486144"/>
        <c:scaling>
          <c:orientation val="minMax"/>
          <c:max val="150"/>
          <c:min val="-120"/>
        </c:scaling>
        <c:delete val="0"/>
        <c:axPos val="r"/>
        <c:title>
          <c:tx>
            <c:rich>
              <a:bodyPr rot="-5400000" vert="horz"/>
              <a:lstStyle/>
              <a:p>
                <a:pPr>
                  <a:defRPr/>
                </a:pPr>
                <a:r>
                  <a:rPr lang="en-US" sz="1600"/>
                  <a:t>Phase Margin (degree)</a:t>
                </a:r>
              </a:p>
            </c:rich>
          </c:tx>
          <c:layout>
            <c:manualLayout>
              <c:xMode val="edge"/>
              <c:yMode val="edge"/>
              <c:x val="0.93752764446601256"/>
              <c:y val="0.25869218199036648"/>
            </c:manualLayout>
          </c:layout>
          <c:overlay val="0"/>
        </c:title>
        <c:numFmt formatCode="0" sourceLinked="0"/>
        <c:majorTickMark val="out"/>
        <c:minorTickMark val="none"/>
        <c:tickLblPos val="nextTo"/>
        <c:crossAx val="120784384"/>
        <c:crosses val="max"/>
        <c:crossBetween val="midCat"/>
        <c:majorUnit val="15"/>
      </c:valAx>
      <c:valAx>
        <c:axId val="120784384"/>
        <c:scaling>
          <c:logBase val="10"/>
          <c:orientation val="minMax"/>
        </c:scaling>
        <c:delete val="1"/>
        <c:axPos val="b"/>
        <c:numFmt formatCode="#,##0" sourceLinked="1"/>
        <c:majorTickMark val="out"/>
        <c:minorTickMark val="none"/>
        <c:tickLblPos val="nextTo"/>
        <c:crossAx val="122486144"/>
        <c:crosses val="autoZero"/>
        <c:crossBetween val="midCat"/>
      </c:valAx>
    </c:plotArea>
    <c:legend>
      <c:legendPos val="r"/>
      <c:layout>
        <c:manualLayout>
          <c:xMode val="edge"/>
          <c:yMode val="edge"/>
          <c:x val="0.74957898417776148"/>
          <c:y val="0.14001761111979444"/>
          <c:w val="9.5922648668389551E-2"/>
          <c:h val="0.10223746427689809"/>
        </c:manualLayout>
      </c:layout>
      <c:overlay val="0"/>
      <c:spPr>
        <a:solidFill>
          <a:schemeClr val="bg1"/>
        </a:solidFill>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5</xdr:col>
      <xdr:colOff>34834</xdr:colOff>
      <xdr:row>59</xdr:row>
      <xdr:rowOff>35924</xdr:rowOff>
    </xdr:from>
    <xdr:to>
      <xdr:col>15</xdr:col>
      <xdr:colOff>524691</xdr:colOff>
      <xdr:row>90</xdr:row>
      <xdr:rowOff>15240</xdr:rowOff>
    </xdr:to>
    <xdr:grpSp>
      <xdr:nvGrpSpPr>
        <xdr:cNvPr id="2" name="Group 1">
          <a:extLst>
            <a:ext uri="{FF2B5EF4-FFF2-40B4-BE49-F238E27FC236}">
              <a16:creationId xmlns:a16="http://schemas.microsoft.com/office/drawing/2014/main" id="{00000000-0008-0000-0000-000002000000}"/>
            </a:ext>
          </a:extLst>
        </xdr:cNvPr>
        <xdr:cNvGrpSpPr/>
      </xdr:nvGrpSpPr>
      <xdr:grpSpPr>
        <a:xfrm>
          <a:off x="6919728" y="11421100"/>
          <a:ext cx="6917551" cy="5169881"/>
          <a:chOff x="6669810" y="12666539"/>
          <a:chExt cx="6585857" cy="4008623"/>
        </a:xfrm>
      </xdr:grpSpPr>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6669810" y="12666539"/>
          <a:ext cx="6585857" cy="4008623"/>
        </xdr:xfrm>
        <a:graphic>
          <a:graphicData uri="http://schemas.openxmlformats.org/drawingml/2006/chart">
            <c:chart xmlns:c="http://schemas.openxmlformats.org/drawingml/2006/chart" xmlns:r="http://schemas.openxmlformats.org/officeDocument/2006/relationships" r:id="rId1"/>
          </a:graphicData>
        </a:graphic>
      </xdr:graphicFrame>
      <xdr:cxnSp macro="">
        <xdr:nvCxnSpPr>
          <xdr:cNvPr id="5" name="Straight Connector 4">
            <a:extLst>
              <a:ext uri="{FF2B5EF4-FFF2-40B4-BE49-F238E27FC236}">
                <a16:creationId xmlns:a16="http://schemas.microsoft.com/office/drawing/2014/main" id="{00000000-0008-0000-0000-000005000000}"/>
              </a:ext>
            </a:extLst>
          </xdr:cNvPr>
          <xdr:cNvCxnSpPr/>
        </xdr:nvCxnSpPr>
        <xdr:spPr>
          <a:xfrm>
            <a:off x="7345534" y="14784867"/>
            <a:ext cx="5143500"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mc:AlternateContent xmlns:mc="http://schemas.openxmlformats.org/markup-compatibility/2006">
    <mc:Choice xmlns:a14="http://schemas.microsoft.com/office/drawing/2010/main" Requires="a14">
      <xdr:twoCellAnchor editAs="oneCell">
        <xdr:from>
          <xdr:col>5</xdr:col>
          <xdr:colOff>60960</xdr:colOff>
          <xdr:row>12</xdr:row>
          <xdr:rowOff>38100</xdr:rowOff>
        </xdr:from>
        <xdr:to>
          <xdr:col>15</xdr:col>
          <xdr:colOff>198120</xdr:colOff>
          <xdr:row>32</xdr:row>
          <xdr:rowOff>160020</xdr:rowOff>
        </xdr:to>
        <xdr:sp macro="" textlink="">
          <xdr:nvSpPr>
            <xdr:cNvPr id="1209" name="Object 185" hidden="1">
              <a:extLst>
                <a:ext uri="{63B3BB69-23CF-44E3-9099-C40C66FF867C}">
                  <a14:compatExt spid="_x0000_s1209"/>
                </a:ext>
                <a:ext uri="{FF2B5EF4-FFF2-40B4-BE49-F238E27FC236}">
                  <a16:creationId xmlns:a16="http://schemas.microsoft.com/office/drawing/2014/main" id="{00000000-0008-0000-0000-0000B9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image" Target="../media/image1.emf"/><Relationship Id="rId5" Type="http://schemas.openxmlformats.org/officeDocument/2006/relationships/oleObject" Target="../embeddings/Microsoft_Visio_2003-2010_Drawing.vsd"/><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16"/>
  <sheetViews>
    <sheetView tabSelected="1" topLeftCell="A40" zoomScale="85" zoomScaleNormal="85" workbookViewId="0">
      <selection activeCell="H96" sqref="H96"/>
    </sheetView>
  </sheetViews>
  <sheetFormatPr defaultColWidth="8.88671875" defaultRowHeight="13.2"/>
  <cols>
    <col min="1" max="1" width="2.6640625" style="103" customWidth="1"/>
    <col min="2" max="2" width="24" style="104" customWidth="1"/>
    <col min="3" max="3" width="13.33203125" style="104" customWidth="1"/>
    <col min="4" max="4" width="6.6640625" style="104" customWidth="1"/>
    <col min="5" max="5" width="53.6640625" style="104" customWidth="1"/>
    <col min="6" max="6" width="9.33203125" style="66" customWidth="1"/>
    <col min="7" max="10" width="8.88671875" style="66" customWidth="1"/>
    <col min="11" max="11" width="8.88671875" style="56" customWidth="1"/>
    <col min="12" max="12" width="8.88671875" style="66"/>
    <col min="13" max="13" width="9.109375" style="66" bestFit="1" customWidth="1"/>
    <col min="14" max="14" width="13.109375" style="66" bestFit="1" customWidth="1"/>
    <col min="15" max="16" width="8.88671875" style="66"/>
    <col min="17" max="17" width="2.6640625" style="66" customWidth="1"/>
    <col min="18" max="18" width="8.88671875" style="66"/>
    <col min="19" max="19" width="11" style="66" bestFit="1" customWidth="1"/>
    <col min="20" max="20" width="8.88671875" style="66" customWidth="1"/>
    <col min="21" max="16384" width="8.88671875" style="66"/>
  </cols>
  <sheetData>
    <row r="1" spans="1:17" s="56" customFormat="1" ht="13.8" thickBot="1">
      <c r="A1" s="52"/>
      <c r="B1" s="53"/>
      <c r="C1" s="53"/>
      <c r="D1" s="53"/>
      <c r="E1" s="53"/>
      <c r="F1" s="54"/>
      <c r="G1" s="54"/>
      <c r="H1" s="54"/>
      <c r="I1" s="54"/>
      <c r="J1" s="55"/>
      <c r="K1" s="55"/>
      <c r="L1" s="55"/>
      <c r="M1" s="55"/>
      <c r="N1" s="55"/>
      <c r="O1" s="55"/>
      <c r="P1" s="55"/>
      <c r="Q1" s="55"/>
    </row>
    <row r="2" spans="1:17" s="56" customFormat="1" ht="16.2" thickTop="1">
      <c r="A2" s="52"/>
      <c r="B2" s="158" t="s">
        <v>231</v>
      </c>
      <c r="C2" s="159"/>
      <c r="D2" s="159"/>
      <c r="E2" s="159"/>
      <c r="F2" s="159"/>
      <c r="G2" s="159"/>
      <c r="H2" s="159"/>
      <c r="I2" s="159"/>
      <c r="J2" s="159"/>
      <c r="K2" s="159"/>
      <c r="L2" s="159"/>
      <c r="M2" s="159"/>
      <c r="N2" s="159"/>
      <c r="O2" s="159"/>
      <c r="P2" s="160"/>
      <c r="Q2" s="55"/>
    </row>
    <row r="3" spans="1:17" s="56" customFormat="1">
      <c r="A3" s="52"/>
      <c r="B3" s="161" t="s">
        <v>242</v>
      </c>
      <c r="C3" s="162"/>
      <c r="D3" s="162"/>
      <c r="E3" s="162"/>
      <c r="F3" s="162"/>
      <c r="G3" s="162"/>
      <c r="H3" s="162"/>
      <c r="I3" s="162"/>
      <c r="J3" s="162"/>
      <c r="K3" s="162"/>
      <c r="L3" s="162"/>
      <c r="M3" s="162"/>
      <c r="N3" s="162"/>
      <c r="O3" s="162"/>
      <c r="P3" s="163"/>
      <c r="Q3" s="55"/>
    </row>
    <row r="4" spans="1:17" s="56" customFormat="1">
      <c r="A4" s="52"/>
      <c r="B4" s="161"/>
      <c r="C4" s="162"/>
      <c r="D4" s="162"/>
      <c r="E4" s="162"/>
      <c r="F4" s="162"/>
      <c r="G4" s="162"/>
      <c r="H4" s="162"/>
      <c r="I4" s="162"/>
      <c r="J4" s="162"/>
      <c r="K4" s="162"/>
      <c r="L4" s="162"/>
      <c r="M4" s="162"/>
      <c r="N4" s="162"/>
      <c r="O4" s="162"/>
      <c r="P4" s="163"/>
      <c r="Q4" s="55"/>
    </row>
    <row r="5" spans="1:17" s="56" customFormat="1">
      <c r="A5" s="52"/>
      <c r="B5" s="57"/>
      <c r="C5" s="58"/>
      <c r="D5" s="58"/>
      <c r="E5" s="58"/>
      <c r="F5" s="59"/>
      <c r="G5" s="59"/>
      <c r="H5" s="59"/>
      <c r="I5" s="59"/>
      <c r="J5" s="59"/>
      <c r="K5" s="60"/>
      <c r="L5" s="60"/>
      <c r="M5" s="60"/>
      <c r="N5" s="60"/>
      <c r="O5" s="60"/>
      <c r="P5" s="61"/>
      <c r="Q5" s="55"/>
    </row>
    <row r="6" spans="1:17" s="56" customFormat="1" ht="13.2" customHeight="1">
      <c r="A6" s="52"/>
      <c r="B6" s="164" t="s">
        <v>237</v>
      </c>
      <c r="C6" s="165"/>
      <c r="D6" s="165"/>
      <c r="E6" s="165"/>
      <c r="F6" s="165"/>
      <c r="G6" s="165"/>
      <c r="H6" s="165"/>
      <c r="I6" s="165"/>
      <c r="J6" s="165"/>
      <c r="K6" s="165"/>
      <c r="L6" s="165"/>
      <c r="M6" s="165"/>
      <c r="N6" s="165"/>
      <c r="O6" s="165"/>
      <c r="P6" s="166"/>
      <c r="Q6" s="55"/>
    </row>
    <row r="7" spans="1:17" s="56" customFormat="1">
      <c r="A7" s="52"/>
      <c r="B7" s="156"/>
      <c r="C7" s="157"/>
      <c r="D7" s="157"/>
      <c r="E7" s="157"/>
      <c r="F7" s="157"/>
      <c r="G7" s="157"/>
      <c r="H7" s="157"/>
      <c r="I7" s="157"/>
      <c r="J7" s="157"/>
      <c r="K7" s="60"/>
      <c r="L7" s="60"/>
      <c r="M7" s="60"/>
      <c r="N7" s="60"/>
      <c r="O7" s="60"/>
      <c r="P7" s="61"/>
      <c r="Q7" s="55"/>
    </row>
    <row r="8" spans="1:17" ht="15.6">
      <c r="A8" s="52"/>
      <c r="B8" s="62"/>
      <c r="C8" s="63"/>
      <c r="D8" s="64" t="s">
        <v>81</v>
      </c>
      <c r="E8" s="65"/>
      <c r="F8" s="60"/>
      <c r="G8" s="60"/>
      <c r="H8" s="60"/>
      <c r="I8" s="60"/>
      <c r="J8" s="60"/>
      <c r="K8" s="60"/>
      <c r="L8" s="60"/>
      <c r="M8" s="60"/>
      <c r="N8" s="60"/>
      <c r="O8" s="60"/>
      <c r="P8" s="61"/>
      <c r="Q8" s="55"/>
    </row>
    <row r="9" spans="1:17" ht="15.6">
      <c r="A9" s="52"/>
      <c r="B9" s="62"/>
      <c r="C9" s="67"/>
      <c r="D9" s="64" t="s">
        <v>43</v>
      </c>
      <c r="E9" s="65"/>
      <c r="F9" s="60"/>
      <c r="G9" s="60"/>
      <c r="H9" s="60"/>
      <c r="I9" s="60"/>
      <c r="J9" s="60"/>
      <c r="K9" s="60"/>
      <c r="L9" s="60"/>
      <c r="M9" s="60"/>
      <c r="N9" s="60"/>
      <c r="O9" s="60"/>
      <c r="P9" s="61"/>
      <c r="Q9" s="55"/>
    </row>
    <row r="10" spans="1:17" ht="13.8">
      <c r="A10" s="52"/>
      <c r="B10" s="62"/>
      <c r="C10" s="68"/>
      <c r="D10" s="64" t="s">
        <v>42</v>
      </c>
      <c r="E10" s="69"/>
      <c r="F10" s="60"/>
      <c r="G10" s="60"/>
      <c r="H10" s="60"/>
      <c r="I10" s="60"/>
      <c r="J10" s="60"/>
      <c r="K10" s="60"/>
      <c r="L10" s="60"/>
      <c r="M10" s="60"/>
      <c r="N10" s="60"/>
      <c r="O10" s="60"/>
      <c r="P10" s="61"/>
      <c r="Q10" s="55"/>
    </row>
    <row r="11" spans="1:17" ht="13.8">
      <c r="A11" s="52"/>
      <c r="B11" s="62"/>
      <c r="C11" s="69"/>
      <c r="D11" s="64"/>
      <c r="E11" s="69"/>
      <c r="F11" s="60"/>
      <c r="G11" s="60"/>
      <c r="H11" s="60"/>
      <c r="I11" s="60"/>
      <c r="J11" s="60"/>
      <c r="K11" s="60"/>
      <c r="L11" s="60"/>
      <c r="M11" s="60"/>
      <c r="N11" s="60"/>
      <c r="O11" s="60"/>
      <c r="P11" s="61"/>
      <c r="Q11" s="55"/>
    </row>
    <row r="12" spans="1:17">
      <c r="A12" s="52"/>
      <c r="B12" s="70" t="s">
        <v>25</v>
      </c>
      <c r="C12" s="71" t="s">
        <v>24</v>
      </c>
      <c r="D12" s="71" t="s">
        <v>23</v>
      </c>
      <c r="E12" s="71" t="s">
        <v>26</v>
      </c>
      <c r="F12" s="169" t="s">
        <v>40</v>
      </c>
      <c r="G12" s="169"/>
      <c r="H12" s="169"/>
      <c r="I12" s="169"/>
      <c r="J12" s="169"/>
      <c r="K12" s="169"/>
      <c r="L12" s="169"/>
      <c r="M12" s="169"/>
      <c r="N12" s="169"/>
      <c r="O12" s="169"/>
      <c r="P12" s="170"/>
      <c r="Q12" s="55"/>
    </row>
    <row r="13" spans="1:17">
      <c r="A13" s="52"/>
      <c r="B13" s="171" t="s">
        <v>41</v>
      </c>
      <c r="C13" s="169"/>
      <c r="D13" s="169"/>
      <c r="E13" s="169"/>
      <c r="F13" s="72"/>
      <c r="G13" s="73"/>
      <c r="H13" s="73"/>
      <c r="I13" s="73"/>
      <c r="J13" s="73"/>
      <c r="K13" s="73"/>
      <c r="L13" s="73"/>
      <c r="M13" s="73"/>
      <c r="N13" s="73"/>
      <c r="O13" s="73"/>
      <c r="P13" s="74"/>
      <c r="Q13" s="55"/>
    </row>
    <row r="14" spans="1:17">
      <c r="A14" s="52"/>
      <c r="B14" s="75" t="s">
        <v>12</v>
      </c>
      <c r="C14" s="33">
        <v>9</v>
      </c>
      <c r="D14" s="76" t="s">
        <v>3</v>
      </c>
      <c r="E14" s="77" t="s">
        <v>223</v>
      </c>
      <c r="F14" s="60"/>
      <c r="G14" s="60"/>
      <c r="H14" s="60"/>
      <c r="I14" s="60"/>
      <c r="J14" s="60"/>
      <c r="K14" s="60"/>
      <c r="L14" s="60"/>
      <c r="M14" s="60"/>
      <c r="N14" s="60"/>
      <c r="O14" s="60"/>
      <c r="P14" s="61"/>
      <c r="Q14" s="55"/>
    </row>
    <row r="15" spans="1:17">
      <c r="A15" s="52"/>
      <c r="B15" s="75" t="s">
        <v>13</v>
      </c>
      <c r="C15" s="33">
        <v>16</v>
      </c>
      <c r="D15" s="76" t="s">
        <v>3</v>
      </c>
      <c r="E15" s="77" t="s">
        <v>33</v>
      </c>
      <c r="F15" s="60"/>
      <c r="G15" s="60"/>
      <c r="H15" s="60"/>
      <c r="I15" s="60"/>
      <c r="J15" s="60"/>
      <c r="K15" s="60"/>
      <c r="L15" s="60"/>
      <c r="M15" s="60"/>
      <c r="N15" s="60"/>
      <c r="O15" s="60"/>
      <c r="P15" s="61"/>
      <c r="Q15" s="55"/>
    </row>
    <row r="16" spans="1:17">
      <c r="A16" s="52"/>
      <c r="B16" s="75" t="s">
        <v>30</v>
      </c>
      <c r="C16" s="108">
        <v>12</v>
      </c>
      <c r="D16" s="76" t="s">
        <v>3</v>
      </c>
      <c r="E16" s="77" t="s">
        <v>232</v>
      </c>
      <c r="F16" s="60"/>
      <c r="G16" s="60"/>
      <c r="H16" s="60"/>
      <c r="I16" s="60"/>
      <c r="J16" s="60"/>
      <c r="K16" s="60"/>
      <c r="L16" s="60"/>
      <c r="M16" s="60"/>
      <c r="N16" s="60"/>
      <c r="O16" s="60"/>
      <c r="P16" s="61"/>
      <c r="Q16" s="55"/>
    </row>
    <row r="17" spans="1:17">
      <c r="A17" s="52"/>
      <c r="B17" s="75" t="s">
        <v>54</v>
      </c>
      <c r="C17" s="33">
        <v>4</v>
      </c>
      <c r="D17" s="76" t="s">
        <v>4</v>
      </c>
      <c r="E17" s="77" t="s">
        <v>76</v>
      </c>
      <c r="F17" s="60"/>
      <c r="G17" s="60"/>
      <c r="H17" s="60"/>
      <c r="I17" s="60"/>
      <c r="J17" s="60"/>
      <c r="K17" s="60"/>
      <c r="L17" s="60"/>
      <c r="M17" s="60"/>
      <c r="N17" s="60"/>
      <c r="O17" s="60"/>
      <c r="P17" s="61"/>
      <c r="Q17" s="55"/>
    </row>
    <row r="18" spans="1:17">
      <c r="A18" s="52"/>
      <c r="B18" s="75" t="s">
        <v>48</v>
      </c>
      <c r="C18" s="34" t="s">
        <v>38</v>
      </c>
      <c r="D18" s="76"/>
      <c r="E18" s="77" t="s">
        <v>82</v>
      </c>
      <c r="F18" s="60"/>
      <c r="G18" s="60"/>
      <c r="H18" s="60"/>
      <c r="I18" s="60"/>
      <c r="J18" s="60"/>
      <c r="K18" s="60"/>
      <c r="L18" s="60"/>
      <c r="M18" s="60"/>
      <c r="N18" s="60"/>
      <c r="O18" s="60"/>
      <c r="P18" s="61"/>
      <c r="Q18" s="55"/>
    </row>
    <row r="19" spans="1:17">
      <c r="A19" s="52"/>
      <c r="B19" s="75" t="s">
        <v>225</v>
      </c>
      <c r="C19" s="131" t="str">
        <f>IF(C18="Internal", "High","Low")</f>
        <v>High</v>
      </c>
      <c r="D19" s="76"/>
      <c r="E19" s="77" t="s">
        <v>226</v>
      </c>
      <c r="F19" s="60"/>
      <c r="G19" s="60"/>
      <c r="H19" s="60"/>
      <c r="I19" s="60"/>
      <c r="J19" s="60"/>
      <c r="K19" s="60"/>
      <c r="L19" s="60"/>
      <c r="M19" s="60"/>
      <c r="N19" s="60"/>
      <c r="O19" s="60"/>
      <c r="P19" s="61"/>
      <c r="Q19" s="55"/>
    </row>
    <row r="20" spans="1:17">
      <c r="A20" s="52"/>
      <c r="B20" s="75" t="s">
        <v>80</v>
      </c>
      <c r="C20" s="34" t="s">
        <v>230</v>
      </c>
      <c r="D20" s="76"/>
      <c r="E20" s="77" t="s">
        <v>83</v>
      </c>
      <c r="F20" s="60"/>
      <c r="G20" s="60"/>
      <c r="H20" s="60"/>
      <c r="I20" s="60"/>
      <c r="J20" s="60"/>
      <c r="K20" s="60"/>
      <c r="L20" s="60"/>
      <c r="M20" s="60"/>
      <c r="N20" s="60"/>
      <c r="O20" s="60"/>
      <c r="P20" s="61"/>
      <c r="Q20" s="55"/>
    </row>
    <row r="21" spans="1:17">
      <c r="A21" s="52"/>
      <c r="B21" s="75" t="s">
        <v>224</v>
      </c>
      <c r="C21" s="35" t="str">
        <f>IF(C20="FPWM", "High","Low")</f>
        <v>High</v>
      </c>
      <c r="D21" s="76"/>
      <c r="E21" s="77" t="s">
        <v>227</v>
      </c>
      <c r="F21" s="60"/>
      <c r="G21" s="60"/>
      <c r="H21" s="60"/>
      <c r="I21" s="60"/>
      <c r="J21" s="60"/>
      <c r="K21" s="60"/>
      <c r="L21" s="60"/>
      <c r="M21" s="60"/>
      <c r="N21" s="60"/>
      <c r="O21" s="60"/>
      <c r="P21" s="61"/>
      <c r="Q21" s="55"/>
    </row>
    <row r="22" spans="1:17" ht="26.4">
      <c r="A22" s="52"/>
      <c r="B22" s="75" t="s">
        <v>73</v>
      </c>
      <c r="C22" s="36">
        <v>100000</v>
      </c>
      <c r="D22" s="76" t="s">
        <v>28</v>
      </c>
      <c r="E22" s="77" t="s">
        <v>195</v>
      </c>
      <c r="F22" s="60"/>
      <c r="G22" s="60"/>
      <c r="H22" s="60"/>
      <c r="I22" s="60"/>
      <c r="J22" s="60"/>
      <c r="K22" s="60"/>
      <c r="L22" s="60"/>
      <c r="M22" s="60"/>
      <c r="N22" s="60"/>
      <c r="O22" s="60"/>
      <c r="P22" s="61"/>
      <c r="Q22" s="55"/>
    </row>
    <row r="23" spans="1:17">
      <c r="A23" s="52"/>
      <c r="B23" s="78" t="s">
        <v>228</v>
      </c>
      <c r="C23" s="37">
        <f>R_5/(Vout/1.2-1)</f>
        <v>11111.111111111111</v>
      </c>
      <c r="D23" s="76" t="s">
        <v>28</v>
      </c>
      <c r="E23" s="77" t="s">
        <v>170</v>
      </c>
      <c r="F23" s="60"/>
      <c r="G23" s="60"/>
      <c r="H23" s="60"/>
      <c r="I23" s="60"/>
      <c r="J23" s="60"/>
      <c r="K23" s="60"/>
      <c r="L23" s="60"/>
      <c r="M23" s="60"/>
      <c r="N23" s="60"/>
      <c r="O23" s="60"/>
      <c r="P23" s="61"/>
      <c r="Q23" s="55"/>
    </row>
    <row r="24" spans="1:17">
      <c r="A24" s="52"/>
      <c r="B24" s="75" t="s">
        <v>75</v>
      </c>
      <c r="C24" s="33">
        <v>5</v>
      </c>
      <c r="D24" s="76" t="s">
        <v>4</v>
      </c>
      <c r="E24" s="77" t="s">
        <v>45</v>
      </c>
      <c r="F24" s="60"/>
      <c r="G24" s="60"/>
      <c r="H24" s="60"/>
      <c r="I24" s="60"/>
      <c r="J24" s="60"/>
      <c r="K24" s="60"/>
      <c r="L24" s="60"/>
      <c r="M24" s="60"/>
      <c r="N24" s="60"/>
      <c r="O24" s="60"/>
      <c r="P24" s="61"/>
      <c r="Q24" s="55"/>
    </row>
    <row r="25" spans="1:17">
      <c r="A25" s="52"/>
      <c r="B25" s="75" t="s">
        <v>46</v>
      </c>
      <c r="C25" s="26">
        <f>50/Iout_limit</f>
        <v>10</v>
      </c>
      <c r="D25" s="76" t="s">
        <v>196</v>
      </c>
      <c r="E25" s="77" t="s">
        <v>47</v>
      </c>
      <c r="F25" s="60"/>
      <c r="G25" s="60"/>
      <c r="H25" s="60"/>
      <c r="I25" s="60"/>
      <c r="J25" s="60"/>
      <c r="K25" s="60"/>
      <c r="L25" s="60"/>
      <c r="M25" s="60"/>
      <c r="N25" s="60"/>
      <c r="O25" s="60"/>
      <c r="P25" s="61"/>
      <c r="Q25" s="55"/>
    </row>
    <row r="26" spans="1:17" ht="27">
      <c r="A26" s="52"/>
      <c r="B26" s="75" t="s">
        <v>201</v>
      </c>
      <c r="C26" s="38">
        <f>IF((Vout&gt;Vin_min), SQRT((Vout-Vin_min)/Vin_min)*Ioutmax, 1/SQRT(12)*Vout*(1-Vout/Vin_max)/L/fsw)</f>
        <v>2.3094010767585029</v>
      </c>
      <c r="D26" s="76" t="s">
        <v>19</v>
      </c>
      <c r="E26" s="77" t="s">
        <v>22</v>
      </c>
      <c r="F26" s="60"/>
      <c r="G26" s="60"/>
      <c r="H26" s="60"/>
      <c r="I26" s="60"/>
      <c r="J26" s="60"/>
      <c r="K26" s="60"/>
      <c r="L26" s="60"/>
      <c r="M26" s="60"/>
      <c r="N26" s="60"/>
      <c r="O26" s="60"/>
      <c r="P26" s="61"/>
      <c r="Q26" s="55"/>
    </row>
    <row r="27" spans="1:17" ht="26.4">
      <c r="A27" s="52"/>
      <c r="B27" s="75" t="s">
        <v>197</v>
      </c>
      <c r="C27" s="38">
        <f>IF((Vin_max&gt;Vout), IF(Vin_max&lt;(2*Vout), Ioutmax*SQRT(Vout*(Vin_max-Vout)/Vin_max/Vin_max), Ioutmax/2), IF(Vin_min&gt;Vout/2, 1/SQRT(12)*Vin_min*(1-Vin_min/Vout)/L/fsw, 1/SQRT(12)*Vout/4/L/fsw))</f>
        <v>1.7320508075688772</v>
      </c>
      <c r="D27" s="76" t="s">
        <v>19</v>
      </c>
      <c r="E27" s="77" t="s">
        <v>36</v>
      </c>
      <c r="F27" s="60"/>
      <c r="G27" s="60"/>
      <c r="H27" s="60"/>
      <c r="I27" s="60"/>
      <c r="J27" s="60"/>
      <c r="K27" s="60"/>
      <c r="L27" s="60"/>
      <c r="M27" s="60"/>
      <c r="N27" s="60"/>
      <c r="O27" s="60"/>
      <c r="P27" s="61"/>
      <c r="Q27" s="55"/>
    </row>
    <row r="28" spans="1:17">
      <c r="A28" s="52"/>
      <c r="B28" s="75" t="s">
        <v>2</v>
      </c>
      <c r="C28" s="39">
        <v>400000</v>
      </c>
      <c r="D28" s="76" t="s">
        <v>6</v>
      </c>
      <c r="E28" s="77" t="s">
        <v>16</v>
      </c>
      <c r="F28" s="60"/>
      <c r="G28" s="60"/>
      <c r="H28" s="60"/>
      <c r="I28" s="60"/>
      <c r="J28" s="60"/>
      <c r="K28" s="60"/>
      <c r="L28" s="60"/>
      <c r="M28" s="60"/>
      <c r="N28" s="60"/>
      <c r="O28" s="60"/>
      <c r="P28" s="61"/>
      <c r="Q28" s="55"/>
    </row>
    <row r="29" spans="1:17">
      <c r="A29" s="52"/>
      <c r="B29" s="78" t="s">
        <v>35</v>
      </c>
      <c r="C29" s="40">
        <f>(10^9/fsw-35)/0.05-250</f>
        <v>49050</v>
      </c>
      <c r="D29" s="76" t="s">
        <v>28</v>
      </c>
      <c r="E29" s="77" t="s">
        <v>34</v>
      </c>
      <c r="F29" s="60"/>
      <c r="G29" s="60"/>
      <c r="H29" s="60"/>
      <c r="I29" s="60"/>
      <c r="J29" s="60"/>
      <c r="K29" s="60"/>
      <c r="L29" s="60"/>
      <c r="M29" s="60"/>
      <c r="N29" s="60"/>
      <c r="O29" s="60"/>
      <c r="P29" s="61"/>
      <c r="Q29" s="55"/>
    </row>
    <row r="30" spans="1:17">
      <c r="A30" s="52"/>
      <c r="B30" s="75" t="s">
        <v>77</v>
      </c>
      <c r="C30" s="39">
        <v>1000</v>
      </c>
      <c r="D30" s="76" t="s">
        <v>6</v>
      </c>
      <c r="E30" s="77" t="s">
        <v>78</v>
      </c>
      <c r="F30" s="60"/>
      <c r="G30" s="60"/>
      <c r="H30" s="60"/>
      <c r="I30" s="60"/>
      <c r="J30" s="60"/>
      <c r="K30" s="60"/>
      <c r="L30" s="60"/>
      <c r="M30" s="60"/>
      <c r="N30" s="60"/>
      <c r="O30" s="60"/>
      <c r="P30" s="61"/>
      <c r="Q30" s="55"/>
    </row>
    <row r="31" spans="1:17">
      <c r="A31" s="52"/>
      <c r="B31" s="78" t="s">
        <v>79</v>
      </c>
      <c r="C31" s="41">
        <f>1/2.8/C29/C30</f>
        <v>7.2811999417504004E-9</v>
      </c>
      <c r="D31" s="76" t="s">
        <v>9</v>
      </c>
      <c r="E31" s="77"/>
      <c r="F31" s="176" t="s">
        <v>44</v>
      </c>
      <c r="G31" s="176"/>
      <c r="H31" s="176"/>
      <c r="I31" s="176"/>
      <c r="J31" s="176"/>
      <c r="K31" s="176"/>
      <c r="L31" s="176"/>
      <c r="M31" s="176"/>
      <c r="N31" s="176"/>
      <c r="O31" s="176"/>
      <c r="P31" s="177"/>
      <c r="Q31" s="102"/>
    </row>
    <row r="32" spans="1:17" ht="27">
      <c r="A32" s="52"/>
      <c r="B32" s="75" t="s">
        <v>202</v>
      </c>
      <c r="C32" s="42">
        <v>0.05</v>
      </c>
      <c r="D32" s="76" t="s">
        <v>20</v>
      </c>
      <c r="E32" s="77" t="s">
        <v>185</v>
      </c>
      <c r="F32" s="112"/>
      <c r="G32" s="113"/>
      <c r="H32" s="113"/>
      <c r="I32" s="113"/>
      <c r="J32" s="113"/>
      <c r="K32" s="113"/>
      <c r="L32" s="113"/>
      <c r="M32" s="113"/>
      <c r="N32" s="113"/>
      <c r="O32" s="113"/>
      <c r="P32" s="114"/>
      <c r="Q32" s="102"/>
    </row>
    <row r="33" spans="1:17" ht="27" customHeight="1">
      <c r="A33" s="52"/>
      <c r="B33" s="78" t="s">
        <v>52</v>
      </c>
      <c r="C33" s="43">
        <f>MAX((Vout-Vin_min)/Vout/fsw*Ioutmax/dVoutpkpk, 1/8/fsw*(ILpeak_max-ILvalley_max)/dVoutpkpk)</f>
        <v>5.0000000000000002E-5</v>
      </c>
      <c r="D33" s="76" t="s">
        <v>9</v>
      </c>
      <c r="E33" s="127" t="s">
        <v>37</v>
      </c>
      <c r="F33" s="126"/>
      <c r="G33" s="116"/>
      <c r="H33" s="116"/>
      <c r="I33" s="117"/>
      <c r="J33" s="116"/>
      <c r="K33" s="115"/>
      <c r="L33" s="116"/>
      <c r="M33" s="116"/>
      <c r="N33" s="116"/>
      <c r="O33" s="116"/>
      <c r="P33" s="128"/>
      <c r="Q33" s="129"/>
    </row>
    <row r="34" spans="1:17">
      <c r="A34" s="52"/>
      <c r="B34" s="134" t="s">
        <v>120</v>
      </c>
      <c r="C34" s="143">
        <v>9.9999999999999995E-7</v>
      </c>
      <c r="D34" s="145" t="s">
        <v>9</v>
      </c>
      <c r="E34" s="140" t="s">
        <v>174</v>
      </c>
      <c r="F34" s="151"/>
      <c r="G34" s="132"/>
      <c r="H34" s="118"/>
      <c r="I34" s="118"/>
      <c r="J34" s="118"/>
      <c r="K34" s="118"/>
      <c r="L34" s="118"/>
      <c r="M34" s="118"/>
      <c r="N34" s="118"/>
      <c r="O34" s="118"/>
      <c r="P34" s="133"/>
      <c r="Q34" s="129"/>
    </row>
    <row r="35" spans="1:17">
      <c r="A35" s="52"/>
      <c r="B35" s="135"/>
      <c r="C35" s="144"/>
      <c r="D35" s="146"/>
      <c r="E35" s="141"/>
      <c r="F35" s="151"/>
      <c r="G35" s="132"/>
      <c r="H35" s="118"/>
      <c r="I35" s="119"/>
      <c r="J35" s="120"/>
      <c r="K35" s="118"/>
      <c r="L35" s="120"/>
      <c r="M35" s="120"/>
      <c r="N35" s="120"/>
      <c r="O35" s="120"/>
      <c r="P35" s="133"/>
      <c r="Q35" s="129"/>
    </row>
    <row r="36" spans="1:17" ht="15.75" customHeight="1">
      <c r="A36" s="52"/>
      <c r="B36" s="134" t="s">
        <v>121</v>
      </c>
      <c r="C36" s="143">
        <v>6.7999999999999999E-5</v>
      </c>
      <c r="D36" s="145" t="s">
        <v>9</v>
      </c>
      <c r="E36" s="140" t="s">
        <v>127</v>
      </c>
      <c r="F36" s="151"/>
      <c r="G36" s="132"/>
      <c r="H36" s="118"/>
      <c r="I36" s="118"/>
      <c r="J36" s="118"/>
      <c r="K36" s="118"/>
      <c r="L36" s="118"/>
      <c r="M36" s="118"/>
      <c r="N36" s="118"/>
      <c r="O36" s="118"/>
      <c r="P36" s="133"/>
      <c r="Q36" s="129"/>
    </row>
    <row r="37" spans="1:17">
      <c r="A37" s="52"/>
      <c r="B37" s="135"/>
      <c r="C37" s="144"/>
      <c r="D37" s="146"/>
      <c r="E37" s="141"/>
      <c r="F37" s="151"/>
      <c r="G37" s="132"/>
      <c r="H37" s="118"/>
      <c r="I37" s="118"/>
      <c r="J37" s="118"/>
      <c r="K37" s="118"/>
      <c r="L37" s="118"/>
      <c r="M37" s="118"/>
      <c r="N37" s="120"/>
      <c r="O37" s="120"/>
      <c r="P37" s="133"/>
      <c r="Q37" s="129"/>
    </row>
    <row r="38" spans="1:17">
      <c r="A38" s="52"/>
      <c r="B38" s="134" t="s">
        <v>171</v>
      </c>
      <c r="C38" s="154">
        <v>3.0000000000000001E-3</v>
      </c>
      <c r="D38" s="145" t="s">
        <v>28</v>
      </c>
      <c r="E38" s="140" t="s">
        <v>111</v>
      </c>
      <c r="F38" s="151"/>
      <c r="G38" s="132"/>
      <c r="H38" s="118"/>
      <c r="I38" s="118"/>
      <c r="J38" s="118"/>
      <c r="K38" s="118"/>
      <c r="L38" s="118"/>
      <c r="M38" s="120"/>
      <c r="N38" s="120"/>
      <c r="O38" s="120"/>
      <c r="P38" s="133"/>
      <c r="Q38" s="129"/>
    </row>
    <row r="39" spans="1:17">
      <c r="A39" s="52"/>
      <c r="B39" s="135"/>
      <c r="C39" s="155"/>
      <c r="D39" s="146"/>
      <c r="E39" s="141"/>
      <c r="F39" s="151"/>
      <c r="G39" s="132"/>
      <c r="H39" s="121"/>
      <c r="I39" s="122"/>
      <c r="J39" s="120"/>
      <c r="K39" s="118"/>
      <c r="L39" s="120"/>
      <c r="M39" s="120"/>
      <c r="N39" s="120"/>
      <c r="O39" s="120"/>
      <c r="P39" s="133"/>
      <c r="Q39" s="129"/>
    </row>
    <row r="40" spans="1:17">
      <c r="A40" s="52"/>
      <c r="B40" s="134" t="s">
        <v>198</v>
      </c>
      <c r="C40" s="152">
        <v>0.05</v>
      </c>
      <c r="D40" s="145" t="s">
        <v>20</v>
      </c>
      <c r="E40" s="140" t="s">
        <v>50</v>
      </c>
      <c r="F40" s="151"/>
      <c r="G40" s="132"/>
      <c r="H40" s="118"/>
      <c r="I40" s="118"/>
      <c r="J40" s="120"/>
      <c r="K40" s="118"/>
      <c r="L40" s="118"/>
      <c r="M40" s="118"/>
      <c r="N40" s="120"/>
      <c r="O40" s="120"/>
      <c r="P40" s="133"/>
      <c r="Q40" s="129"/>
    </row>
    <row r="41" spans="1:17">
      <c r="A41" s="52"/>
      <c r="B41" s="135"/>
      <c r="C41" s="153"/>
      <c r="D41" s="146"/>
      <c r="E41" s="141"/>
      <c r="F41" s="151"/>
      <c r="G41" s="132"/>
      <c r="H41" s="118"/>
      <c r="I41" s="118"/>
      <c r="J41" s="120"/>
      <c r="K41" s="120"/>
      <c r="L41" s="118"/>
      <c r="M41" s="118"/>
      <c r="N41" s="120"/>
      <c r="O41" s="120"/>
      <c r="P41" s="133"/>
      <c r="Q41" s="129"/>
    </row>
    <row r="42" spans="1:17">
      <c r="A42" s="52"/>
      <c r="B42" s="147" t="s">
        <v>51</v>
      </c>
      <c r="C42" s="149">
        <f>Ioutmax*0.25/dVinpkpk/fsw</f>
        <v>5.0000000000000002E-5</v>
      </c>
      <c r="D42" s="145" t="s">
        <v>9</v>
      </c>
      <c r="E42" s="140" t="s">
        <v>84</v>
      </c>
      <c r="F42" s="151"/>
      <c r="G42" s="132"/>
      <c r="H42" s="118"/>
      <c r="I42" s="118"/>
      <c r="J42" s="118"/>
      <c r="K42" s="118"/>
      <c r="L42" s="118"/>
      <c r="M42" s="118"/>
      <c r="N42" s="120"/>
      <c r="O42" s="120"/>
      <c r="P42" s="133"/>
      <c r="Q42" s="129"/>
    </row>
    <row r="43" spans="1:17">
      <c r="A43" s="52"/>
      <c r="B43" s="148"/>
      <c r="C43" s="150"/>
      <c r="D43" s="146"/>
      <c r="E43" s="141"/>
      <c r="F43" s="151"/>
      <c r="G43" s="132"/>
      <c r="H43" s="118"/>
      <c r="I43" s="118"/>
      <c r="J43" s="118"/>
      <c r="K43" s="118"/>
      <c r="L43" s="118"/>
      <c r="M43" s="118"/>
      <c r="N43" s="120"/>
      <c r="O43" s="120"/>
      <c r="P43" s="133"/>
      <c r="Q43" s="129"/>
    </row>
    <row r="44" spans="1:17">
      <c r="A44" s="52"/>
      <c r="B44" s="134" t="s">
        <v>53</v>
      </c>
      <c r="C44" s="143">
        <v>4.3000000000000002E-5</v>
      </c>
      <c r="D44" s="145" t="s">
        <v>9</v>
      </c>
      <c r="E44" s="140" t="s">
        <v>31</v>
      </c>
      <c r="F44" s="142"/>
      <c r="G44" s="132"/>
      <c r="H44" s="118"/>
      <c r="I44" s="118"/>
      <c r="J44" s="118"/>
      <c r="K44" s="118"/>
      <c r="L44" s="118"/>
      <c r="M44" s="118"/>
      <c r="N44" s="120"/>
      <c r="O44" s="120"/>
      <c r="P44" s="133"/>
      <c r="Q44" s="129"/>
    </row>
    <row r="45" spans="1:17">
      <c r="A45" s="52"/>
      <c r="B45" s="135"/>
      <c r="C45" s="144"/>
      <c r="D45" s="146"/>
      <c r="E45" s="141"/>
      <c r="F45" s="142"/>
      <c r="G45" s="132"/>
      <c r="H45" s="118"/>
      <c r="I45" s="118"/>
      <c r="J45" s="118"/>
      <c r="K45" s="118"/>
      <c r="L45" s="118"/>
      <c r="M45" s="120"/>
      <c r="N45" s="120"/>
      <c r="O45" s="120"/>
      <c r="P45" s="133"/>
      <c r="Q45" s="129"/>
    </row>
    <row r="46" spans="1:17">
      <c r="A46" s="52"/>
      <c r="B46" s="134" t="s">
        <v>205</v>
      </c>
      <c r="C46" s="178">
        <v>0.95</v>
      </c>
      <c r="D46" s="138"/>
      <c r="E46" s="140" t="s">
        <v>39</v>
      </c>
      <c r="F46" s="142"/>
      <c r="G46" s="132"/>
      <c r="H46" s="118"/>
      <c r="I46" s="118"/>
      <c r="J46" s="118"/>
      <c r="K46" s="118"/>
      <c r="L46" s="118"/>
      <c r="M46" s="118"/>
      <c r="N46" s="118"/>
      <c r="O46" s="118"/>
      <c r="P46" s="133"/>
      <c r="Q46" s="129"/>
    </row>
    <row r="47" spans="1:17">
      <c r="A47" s="52"/>
      <c r="B47" s="135"/>
      <c r="C47" s="179"/>
      <c r="D47" s="139"/>
      <c r="E47" s="141"/>
      <c r="F47" s="142"/>
      <c r="G47" s="132"/>
      <c r="H47" s="123"/>
      <c r="I47" s="123"/>
      <c r="J47" s="123"/>
      <c r="K47" s="123"/>
      <c r="L47" s="124"/>
      <c r="M47" s="124"/>
      <c r="N47" s="125"/>
      <c r="O47" s="124"/>
      <c r="P47" s="133"/>
      <c r="Q47" s="129"/>
    </row>
    <row r="48" spans="1:17">
      <c r="A48" s="52"/>
      <c r="B48" s="134" t="s">
        <v>11</v>
      </c>
      <c r="C48" s="136">
        <v>0.5</v>
      </c>
      <c r="D48" s="138"/>
      <c r="E48" s="140" t="s">
        <v>86</v>
      </c>
      <c r="F48" s="142"/>
      <c r="G48" s="132"/>
      <c r="H48" s="120"/>
      <c r="I48" s="120"/>
      <c r="J48" s="120"/>
      <c r="K48" s="120"/>
      <c r="L48" s="120"/>
      <c r="M48" s="118"/>
      <c r="N48" s="120"/>
      <c r="O48" s="120"/>
      <c r="P48" s="133"/>
      <c r="Q48" s="129"/>
    </row>
    <row r="49" spans="1:17">
      <c r="A49" s="52"/>
      <c r="B49" s="135"/>
      <c r="C49" s="137"/>
      <c r="D49" s="139"/>
      <c r="E49" s="141"/>
      <c r="F49" s="142"/>
      <c r="G49" s="132"/>
      <c r="H49" s="120"/>
      <c r="I49" s="120"/>
      <c r="J49" s="120"/>
      <c r="K49" s="120"/>
      <c r="L49" s="120"/>
      <c r="M49" s="118"/>
      <c r="N49" s="120"/>
      <c r="O49" s="120"/>
      <c r="P49" s="133"/>
      <c r="Q49" s="129"/>
    </row>
    <row r="50" spans="1:17" ht="26.4">
      <c r="A50" s="52"/>
      <c r="B50" s="75" t="s">
        <v>97</v>
      </c>
      <c r="C50" s="43">
        <f>IF(Vout&gt;Vin_min, Vin_min^2*eff*(Vout-Vin_min)/(K*Ioutmax*fsw*Vout^2), (1-Vout/Vin_max)*Vout/(K*Ioutmax*fsw))</f>
        <v>2.00390625E-6</v>
      </c>
      <c r="D50" s="76" t="s">
        <v>5</v>
      </c>
      <c r="E50" s="77" t="s">
        <v>85</v>
      </c>
      <c r="F50" s="80"/>
      <c r="G50" s="60"/>
      <c r="H50" s="60"/>
      <c r="I50" s="60"/>
      <c r="J50" s="60"/>
      <c r="K50" s="60"/>
      <c r="L50" s="60"/>
      <c r="M50" s="60"/>
      <c r="N50" s="60"/>
      <c r="O50" s="60"/>
      <c r="P50" s="61"/>
      <c r="Q50" s="55"/>
    </row>
    <row r="51" spans="1:17" ht="15.6" customHeight="1">
      <c r="A51" s="52"/>
      <c r="B51" s="75" t="s">
        <v>17</v>
      </c>
      <c r="C51" s="44">
        <v>4.6999999999999999E-6</v>
      </c>
      <c r="D51" s="76" t="s">
        <v>5</v>
      </c>
      <c r="E51" s="77"/>
      <c r="F51" s="80"/>
      <c r="G51" s="60"/>
      <c r="H51" s="80"/>
      <c r="I51" s="80"/>
      <c r="J51" s="60"/>
      <c r="K51" s="60"/>
      <c r="L51" s="60"/>
      <c r="M51" s="60"/>
      <c r="N51" s="60"/>
      <c r="O51" s="60"/>
      <c r="P51" s="61"/>
      <c r="Q51" s="55"/>
    </row>
    <row r="52" spans="1:17">
      <c r="A52" s="52"/>
      <c r="B52" s="75" t="s">
        <v>162</v>
      </c>
      <c r="C52" s="38">
        <f>IF(Vout&gt;Vin_min, ((Ioutmax/(Vin_min/Vout)/eff)^2+1/12*(Vin_min/L*(1-Vin_min/Vout)/fsw)^2)^0.5, ((Ioutmax^2+1/12*(Vout/L*(1-Vout/Vin_max)/fsw)^2)^0.5))</f>
        <v>5.624655768762338</v>
      </c>
      <c r="D52" s="76" t="s">
        <v>19</v>
      </c>
      <c r="E52" s="77" t="s">
        <v>14</v>
      </c>
      <c r="F52" s="60"/>
      <c r="G52" s="60"/>
      <c r="H52" s="60"/>
      <c r="I52" s="60"/>
      <c r="J52" s="60"/>
      <c r="K52" s="60"/>
      <c r="L52" s="60"/>
      <c r="M52" s="60"/>
      <c r="N52" s="60"/>
      <c r="O52" s="60"/>
      <c r="P52" s="61"/>
      <c r="Q52" s="55"/>
    </row>
    <row r="53" spans="1:17" ht="25.5" customHeight="1">
      <c r="A53" s="52"/>
      <c r="B53" s="75" t="s">
        <v>164</v>
      </c>
      <c r="C53" s="38">
        <f>IF(Vout&gt;Vin_min, (Ioutmax/(Vin_min/Vout)/eff+(1/2*Vin_min/L*(1-Vin_min/Vout)/fsw)), Ioutmax+1/2*(Vout*(1-Vout/Vin_max)/L/fsw))</f>
        <v>6.2124393430384472</v>
      </c>
      <c r="D53" s="76" t="s">
        <v>4</v>
      </c>
      <c r="E53" s="77" t="s">
        <v>208</v>
      </c>
      <c r="F53" s="60"/>
      <c r="G53" s="81"/>
      <c r="H53" s="82"/>
      <c r="I53" s="81"/>
      <c r="J53" s="79"/>
      <c r="K53" s="60"/>
      <c r="L53" s="60"/>
      <c r="M53" s="60"/>
      <c r="N53" s="60"/>
      <c r="O53" s="60"/>
      <c r="P53" s="61"/>
      <c r="Q53" s="55"/>
    </row>
    <row r="54" spans="1:17" ht="14.4" customHeight="1">
      <c r="A54" s="52"/>
      <c r="B54" s="75" t="s">
        <v>244</v>
      </c>
      <c r="C54" s="38">
        <f>(ILpeak_max+ILvalley_max)/2</f>
        <v>5.6140350877192979</v>
      </c>
      <c r="D54" s="76" t="s">
        <v>4</v>
      </c>
      <c r="E54" s="77" t="s">
        <v>245</v>
      </c>
      <c r="F54" s="60"/>
      <c r="G54" s="81"/>
      <c r="H54" s="82"/>
      <c r="I54" s="81"/>
      <c r="J54" s="79"/>
      <c r="K54" s="60"/>
      <c r="L54" s="60"/>
      <c r="M54" s="60"/>
      <c r="N54" s="60"/>
      <c r="O54" s="60"/>
      <c r="P54" s="61"/>
      <c r="Q54" s="55"/>
    </row>
    <row r="55" spans="1:17">
      <c r="A55" s="52"/>
      <c r="B55" s="75" t="s">
        <v>165</v>
      </c>
      <c r="C55" s="38">
        <f>IF(Vout&gt;Vin_min, (Ioutmax/(Vin_min/Vout)/eff-(1/2*Vin_min/L*(1-Vin_min/Vout)/fsw)), Ioutmax-1/2*(Vout*(1-Vout/Vin_max)/L/fsw))</f>
        <v>5.0156308324001486</v>
      </c>
      <c r="D55" s="76" t="s">
        <v>4</v>
      </c>
      <c r="E55" s="77"/>
      <c r="F55" s="60"/>
      <c r="G55" s="81"/>
      <c r="H55" s="82"/>
      <c r="I55" s="81"/>
      <c r="J55" s="79"/>
      <c r="K55" s="60"/>
      <c r="L55" s="60"/>
      <c r="M55" s="60"/>
      <c r="N55" s="60"/>
      <c r="O55" s="60"/>
      <c r="P55" s="61"/>
      <c r="Q55" s="55"/>
    </row>
    <row r="56" spans="1:17" ht="13.8">
      <c r="A56" s="52"/>
      <c r="B56" s="75" t="s">
        <v>186</v>
      </c>
      <c r="C56" s="109">
        <v>8</v>
      </c>
      <c r="D56" s="76" t="s">
        <v>4</v>
      </c>
      <c r="E56" s="77" t="s">
        <v>243</v>
      </c>
      <c r="F56" s="60"/>
      <c r="G56" s="81"/>
      <c r="H56" s="82"/>
      <c r="I56" s="81"/>
      <c r="J56" s="79"/>
      <c r="K56" s="60"/>
      <c r="L56" s="60"/>
      <c r="M56" s="60"/>
      <c r="N56" s="60"/>
      <c r="O56" s="60"/>
      <c r="P56" s="61"/>
      <c r="Q56" s="55"/>
    </row>
    <row r="57" spans="1:17">
      <c r="A57" s="52"/>
      <c r="B57" s="83" t="s">
        <v>87</v>
      </c>
      <c r="C57" s="45">
        <v>0</v>
      </c>
      <c r="D57" s="76" t="s">
        <v>89</v>
      </c>
      <c r="E57" s="77" t="s">
        <v>88</v>
      </c>
      <c r="F57" s="60"/>
      <c r="G57" s="81"/>
      <c r="H57" s="82"/>
      <c r="I57" s="81"/>
      <c r="J57" s="79"/>
      <c r="K57" s="60"/>
      <c r="L57" s="60"/>
      <c r="M57" s="60"/>
      <c r="N57" s="60"/>
      <c r="O57" s="60"/>
      <c r="P57" s="61"/>
      <c r="Q57" s="55"/>
    </row>
    <row r="58" spans="1:17">
      <c r="A58" s="52"/>
      <c r="B58" s="78" t="s">
        <v>95</v>
      </c>
      <c r="C58" s="46" t="str">
        <f>IF((C57=0), "floating", 3*R_7/C57)</f>
        <v>floating</v>
      </c>
      <c r="D58" s="76" t="s">
        <v>49</v>
      </c>
      <c r="E58" s="77" t="s">
        <v>96</v>
      </c>
      <c r="F58" s="60"/>
      <c r="G58" s="60"/>
      <c r="H58" s="60"/>
      <c r="I58" s="60"/>
      <c r="J58" s="60"/>
      <c r="K58" s="60"/>
      <c r="L58" s="60"/>
      <c r="M58" s="60"/>
      <c r="N58" s="60"/>
      <c r="O58" s="60"/>
      <c r="P58" s="61"/>
      <c r="Q58" s="55"/>
    </row>
    <row r="59" spans="1:17">
      <c r="A59" s="52"/>
      <c r="B59" s="175" t="s">
        <v>182</v>
      </c>
      <c r="C59" s="173"/>
      <c r="D59" s="173"/>
      <c r="E59" s="173"/>
      <c r="F59" s="172" t="s">
        <v>150</v>
      </c>
      <c r="G59" s="173"/>
      <c r="H59" s="173"/>
      <c r="I59" s="173"/>
      <c r="J59" s="173"/>
      <c r="K59" s="173"/>
      <c r="L59" s="173"/>
      <c r="M59" s="173"/>
      <c r="N59" s="173"/>
      <c r="O59" s="173"/>
      <c r="P59" s="174"/>
      <c r="Q59" s="55"/>
    </row>
    <row r="60" spans="1:17">
      <c r="A60" s="52"/>
      <c r="B60" s="75" t="s">
        <v>0</v>
      </c>
      <c r="C60" s="26">
        <v>9</v>
      </c>
      <c r="D60" s="76" t="s">
        <v>3</v>
      </c>
      <c r="E60" s="167" t="s">
        <v>184</v>
      </c>
      <c r="F60" s="60"/>
      <c r="G60" s="60"/>
      <c r="H60" s="60"/>
      <c r="I60" s="60"/>
      <c r="J60" s="60"/>
      <c r="K60" s="60"/>
      <c r="L60" s="60"/>
      <c r="M60" s="60"/>
      <c r="N60" s="60"/>
      <c r="O60" s="60"/>
      <c r="P60" s="61"/>
      <c r="Q60" s="55"/>
    </row>
    <row r="61" spans="1:17">
      <c r="A61" s="52"/>
      <c r="B61" s="75" t="s">
        <v>30</v>
      </c>
      <c r="C61" s="130">
        <f>Vout</f>
        <v>12</v>
      </c>
      <c r="D61" s="76" t="s">
        <v>3</v>
      </c>
      <c r="E61" s="168"/>
      <c r="F61" s="60"/>
      <c r="G61" s="60"/>
      <c r="H61" s="60"/>
      <c r="I61" s="60"/>
      <c r="J61" s="60"/>
      <c r="K61" s="60"/>
      <c r="L61" s="60"/>
      <c r="M61" s="60"/>
      <c r="N61" s="60"/>
      <c r="O61" s="60"/>
      <c r="P61" s="61"/>
      <c r="Q61" s="55"/>
    </row>
    <row r="62" spans="1:17" ht="12.75" customHeight="1">
      <c r="A62" s="84"/>
      <c r="B62" s="75" t="s">
        <v>146</v>
      </c>
      <c r="C62" s="35" t="str">
        <f>IF((Vin_LP &gt; Vout_LP),"Buck","Boost")</f>
        <v>Boost</v>
      </c>
      <c r="D62" s="76"/>
      <c r="E62" s="77" t="s">
        <v>158</v>
      </c>
      <c r="F62" s="60"/>
      <c r="G62" s="60"/>
      <c r="H62" s="60"/>
      <c r="I62" s="60"/>
      <c r="J62" s="60"/>
      <c r="K62" s="60"/>
      <c r="L62" s="60"/>
      <c r="M62" s="60"/>
      <c r="N62" s="60"/>
      <c r="O62" s="60"/>
      <c r="P62" s="61"/>
      <c r="Q62" s="55"/>
    </row>
    <row r="63" spans="1:17" ht="12.75" customHeight="1">
      <c r="A63" s="84"/>
      <c r="B63" s="75" t="s">
        <v>211</v>
      </c>
      <c r="C63" s="47">
        <f>17+Ioutmax/2.5</f>
        <v>18.600000000000001</v>
      </c>
      <c r="D63" s="76" t="s">
        <v>124</v>
      </c>
      <c r="E63" s="77" t="s">
        <v>126</v>
      </c>
      <c r="F63" s="60"/>
      <c r="G63" s="60"/>
      <c r="H63" s="60"/>
      <c r="I63" s="60"/>
      <c r="J63" s="60"/>
      <c r="K63" s="60"/>
      <c r="L63" s="60"/>
      <c r="M63" s="60"/>
      <c r="N63" s="60"/>
      <c r="O63" s="60"/>
      <c r="P63" s="61"/>
      <c r="Q63" s="55"/>
    </row>
    <row r="64" spans="1:17" ht="12.75" customHeight="1">
      <c r="A64" s="84"/>
      <c r="B64" s="75" t="s">
        <v>210</v>
      </c>
      <c r="C64" s="35">
        <f>IF((Op_mode="Buck"), Ioutmax/2/PI()/Vout_LP/(Cout_c+Cout_e), Ioutmax/PI()/Vout_LP/(Cout_c+Cout_e))</f>
        <v>1537.7289187622739</v>
      </c>
      <c r="D64" s="76" t="s">
        <v>6</v>
      </c>
      <c r="E64" s="77" t="s">
        <v>149</v>
      </c>
      <c r="F64" s="60"/>
      <c r="G64" s="60"/>
      <c r="H64" s="60"/>
      <c r="I64" s="60"/>
      <c r="J64" s="60"/>
      <c r="K64" s="60"/>
      <c r="L64" s="60"/>
      <c r="M64" s="60"/>
      <c r="N64" s="60"/>
      <c r="O64" s="60"/>
      <c r="P64" s="61"/>
      <c r="Q64" s="55"/>
    </row>
    <row r="65" spans="1:17" ht="12.75" customHeight="1">
      <c r="A65" s="84"/>
      <c r="B65" s="75" t="s">
        <v>214</v>
      </c>
      <c r="C65" s="35">
        <f>IF(Op_mode="Boost", Vout_LP*(eff*Vin_LP/Vout_LP)^2/2/PI()/L/Ioutmax, "No RPHZ")</f>
        <v>51571.915901486158</v>
      </c>
      <c r="D65" s="76" t="s">
        <v>6</v>
      </c>
      <c r="E65" s="77" t="s">
        <v>147</v>
      </c>
      <c r="F65" s="60"/>
      <c r="G65" s="60"/>
      <c r="H65" s="60"/>
      <c r="I65" s="60"/>
      <c r="J65" s="60"/>
      <c r="K65" s="60"/>
      <c r="L65" s="60"/>
      <c r="M65" s="60"/>
      <c r="N65" s="60"/>
      <c r="O65" s="60"/>
      <c r="P65" s="61"/>
      <c r="Q65" s="55"/>
    </row>
    <row r="66" spans="1:17" ht="12.75" customHeight="1">
      <c r="A66" s="84"/>
      <c r="B66" s="75" t="s">
        <v>215</v>
      </c>
      <c r="C66" s="35">
        <f>1/2/PI()/Cout_e/ESR</f>
        <v>780171.28966615361</v>
      </c>
      <c r="D66" s="76" t="s">
        <v>6</v>
      </c>
      <c r="E66" s="77" t="s">
        <v>148</v>
      </c>
      <c r="F66" s="60"/>
      <c r="G66" s="60"/>
      <c r="H66" s="60"/>
      <c r="I66" s="60"/>
      <c r="J66" s="60"/>
      <c r="K66" s="60"/>
      <c r="L66" s="60"/>
      <c r="M66" s="60"/>
      <c r="N66" s="60"/>
      <c r="O66" s="60"/>
      <c r="P66" s="61"/>
      <c r="Q66" s="55"/>
    </row>
    <row r="67" spans="1:17" ht="12.75" customHeight="1">
      <c r="A67" s="84"/>
      <c r="B67" s="75" t="s">
        <v>27</v>
      </c>
      <c r="C67" s="25">
        <v>8000</v>
      </c>
      <c r="D67" s="76" t="s">
        <v>6</v>
      </c>
      <c r="E67" s="77" t="s">
        <v>32</v>
      </c>
      <c r="F67" s="60"/>
      <c r="G67" s="60"/>
      <c r="H67" s="60"/>
      <c r="I67" s="60"/>
      <c r="J67" s="60"/>
      <c r="K67" s="60"/>
      <c r="L67" s="60"/>
      <c r="M67" s="60"/>
      <c r="N67" s="60"/>
      <c r="O67" s="60"/>
      <c r="P67" s="61"/>
      <c r="Q67" s="55"/>
    </row>
    <row r="68" spans="1:17" ht="12.75" customHeight="1">
      <c r="A68" s="84"/>
      <c r="B68" s="75" t="s">
        <v>212</v>
      </c>
      <c r="C68" s="85">
        <v>1.9000000000000001E-4</v>
      </c>
      <c r="D68" s="76" t="s">
        <v>124</v>
      </c>
      <c r="E68" s="77" t="s">
        <v>125</v>
      </c>
      <c r="F68" s="60"/>
      <c r="G68" s="60"/>
      <c r="H68" s="60"/>
      <c r="I68" s="60"/>
      <c r="J68" s="60"/>
      <c r="K68" s="60"/>
      <c r="L68" s="60"/>
      <c r="M68" s="60"/>
      <c r="N68" s="60"/>
      <c r="O68" s="60"/>
      <c r="P68" s="61"/>
      <c r="Q68" s="55"/>
    </row>
    <row r="69" spans="1:17">
      <c r="A69" s="84"/>
      <c r="B69" s="78" t="s">
        <v>90</v>
      </c>
      <c r="C69" s="29">
        <f>IF(Op_mode="Boost", 2*PI()*fco*(Cout_c+Cout_e)*Vout/1.129/gm_PS/(eff*Vin_LP/Vout_LP)/gm_EA, 2*PI()*fco*(Cout_c+Cout_e)*Vout/1.129/gm_PS/gm_EA)</f>
        <v>14640.463842565428</v>
      </c>
      <c r="D69" s="76" t="s">
        <v>28</v>
      </c>
      <c r="E69" s="86"/>
      <c r="F69" s="60"/>
      <c r="G69" s="60"/>
      <c r="H69" s="60"/>
      <c r="I69" s="60"/>
      <c r="J69" s="60"/>
      <c r="K69" s="60"/>
      <c r="L69" s="60"/>
      <c r="M69" s="60"/>
      <c r="N69" s="60"/>
      <c r="O69" s="60"/>
      <c r="P69" s="61"/>
      <c r="Q69" s="55"/>
    </row>
    <row r="70" spans="1:17">
      <c r="A70" s="84"/>
      <c r="B70" s="75" t="s">
        <v>110</v>
      </c>
      <c r="C70" s="25">
        <v>10000</v>
      </c>
      <c r="D70" s="76" t="s">
        <v>28</v>
      </c>
      <c r="E70" s="86" t="s">
        <v>169</v>
      </c>
      <c r="F70" s="60"/>
      <c r="G70" s="60"/>
      <c r="H70" s="60"/>
      <c r="I70" s="60"/>
      <c r="J70" s="60"/>
      <c r="K70" s="60"/>
      <c r="L70" s="60"/>
      <c r="M70" s="60"/>
      <c r="N70" s="60"/>
      <c r="O70" s="60"/>
      <c r="P70" s="61"/>
      <c r="Q70" s="55"/>
    </row>
    <row r="71" spans="1:17">
      <c r="A71" s="84"/>
      <c r="B71" s="78" t="s">
        <v>91</v>
      </c>
      <c r="C71" s="43">
        <f>1/(2*PI()*(fco/10)*(Rcomp+2000))</f>
        <v>1.6578639905405766E-8</v>
      </c>
      <c r="D71" s="76" t="s">
        <v>9</v>
      </c>
      <c r="E71" s="86" t="s">
        <v>218</v>
      </c>
      <c r="F71" s="60"/>
      <c r="G71" s="60"/>
      <c r="H71" s="60"/>
      <c r="I71" s="60"/>
      <c r="J71" s="60"/>
      <c r="K71" s="60"/>
      <c r="L71" s="60"/>
      <c r="M71" s="60"/>
      <c r="N71" s="60"/>
      <c r="O71" s="60"/>
      <c r="P71" s="61"/>
      <c r="Q71" s="55"/>
    </row>
    <row r="72" spans="1:17">
      <c r="A72" s="84"/>
      <c r="B72" s="75" t="s">
        <v>92</v>
      </c>
      <c r="C72" s="44">
        <v>4.6999999999999999E-9</v>
      </c>
      <c r="D72" s="76" t="s">
        <v>9</v>
      </c>
      <c r="E72" s="86"/>
      <c r="F72" s="60"/>
      <c r="G72" s="60"/>
      <c r="H72" s="60"/>
      <c r="I72" s="60"/>
      <c r="J72" s="60"/>
      <c r="K72" s="60"/>
      <c r="L72" s="60"/>
      <c r="M72" s="60"/>
      <c r="N72" s="60"/>
      <c r="O72" s="60"/>
      <c r="P72" s="61"/>
      <c r="Q72" s="55"/>
    </row>
    <row r="73" spans="1:17">
      <c r="A73" s="84"/>
      <c r="B73" s="75" t="s">
        <v>213</v>
      </c>
      <c r="C73" s="29">
        <f>1/2/PI()/(Rcomp+2000)/Ccomp</f>
        <v>2821.8961541116196</v>
      </c>
      <c r="D73" s="76" t="s">
        <v>6</v>
      </c>
      <c r="E73" s="86" t="s">
        <v>217</v>
      </c>
      <c r="F73" s="60"/>
      <c r="G73" s="60"/>
      <c r="H73" s="60"/>
      <c r="I73" s="60"/>
      <c r="J73" s="60"/>
      <c r="K73" s="60"/>
      <c r="L73" s="60"/>
      <c r="M73" s="60"/>
      <c r="N73" s="60"/>
      <c r="O73" s="60"/>
      <c r="P73" s="61"/>
      <c r="Q73" s="55"/>
    </row>
    <row r="74" spans="1:17" ht="39.6">
      <c r="A74" s="84"/>
      <c r="B74" s="78" t="s">
        <v>93</v>
      </c>
      <c r="C74" s="48">
        <f>Ccomp*(IF(fzRHP&gt;fz_ESR, (Cout_e*ESR/Rcomp)/(Ccomp-Cout_e*ESR/Rcomp), (1/2/PI()/fzRHP/Rcomp)/(Ccomp-1/2/PI()/fzRHP/Rcomp)))</f>
        <v>3.3029537718238722E-10</v>
      </c>
      <c r="D74" s="76" t="s">
        <v>9</v>
      </c>
      <c r="E74" s="77" t="s">
        <v>221</v>
      </c>
      <c r="F74" s="79"/>
      <c r="G74" s="80"/>
      <c r="H74" s="80"/>
      <c r="I74" s="60"/>
      <c r="J74" s="60"/>
      <c r="K74" s="60"/>
      <c r="L74" s="60"/>
      <c r="M74" s="60"/>
      <c r="N74" s="60"/>
      <c r="O74" s="60"/>
      <c r="P74" s="61"/>
      <c r="Q74" s="55"/>
    </row>
    <row r="75" spans="1:17">
      <c r="A75" s="84"/>
      <c r="B75" s="87" t="s">
        <v>94</v>
      </c>
      <c r="C75" s="49">
        <v>1E-10</v>
      </c>
      <c r="D75" s="88" t="s">
        <v>9</v>
      </c>
      <c r="E75" s="89"/>
      <c r="F75" s="80"/>
      <c r="G75" s="80"/>
      <c r="H75" s="80"/>
      <c r="I75" s="60"/>
      <c r="J75" s="60"/>
      <c r="K75" s="60"/>
      <c r="L75" s="60"/>
      <c r="M75" s="60"/>
      <c r="N75" s="60"/>
      <c r="O75" s="60"/>
      <c r="P75" s="61"/>
      <c r="Q75" s="55"/>
    </row>
    <row r="76" spans="1:17">
      <c r="A76" s="84"/>
      <c r="B76" s="87" t="s">
        <v>216</v>
      </c>
      <c r="C76" s="30">
        <f>1/2/PI()/(Rcomp+2000)/(Ccomp*(Cp+0.000000000003)/(Ccomp+Cp+0.000000000003))</f>
        <v>131588.03134172922</v>
      </c>
      <c r="D76" s="88" t="s">
        <v>6</v>
      </c>
      <c r="E76" s="89" t="s">
        <v>183</v>
      </c>
      <c r="F76" s="80"/>
      <c r="G76" s="80"/>
      <c r="H76" s="80"/>
      <c r="I76" s="60"/>
      <c r="J76" s="60"/>
      <c r="K76" s="60"/>
      <c r="L76" s="60"/>
      <c r="M76" s="60"/>
      <c r="N76" s="60"/>
      <c r="O76" s="60"/>
      <c r="P76" s="61"/>
      <c r="Q76" s="55"/>
    </row>
    <row r="77" spans="1:17">
      <c r="A77" s="84"/>
      <c r="B77" s="171" t="s">
        <v>209</v>
      </c>
      <c r="C77" s="169"/>
      <c r="D77" s="169"/>
      <c r="E77" s="169"/>
      <c r="F77" s="60"/>
      <c r="G77" s="60"/>
      <c r="H77" s="60"/>
      <c r="I77" s="60"/>
      <c r="J77" s="60"/>
      <c r="K77" s="60"/>
      <c r="L77" s="60"/>
      <c r="M77" s="60"/>
      <c r="N77" s="60"/>
      <c r="O77" s="60"/>
      <c r="P77" s="61"/>
      <c r="Q77" s="55"/>
    </row>
    <row r="78" spans="1:17">
      <c r="A78" s="84"/>
      <c r="B78" s="75" t="s">
        <v>0</v>
      </c>
      <c r="C78" s="26">
        <v>9</v>
      </c>
      <c r="D78" s="90" t="s">
        <v>3</v>
      </c>
      <c r="E78" s="90" t="s">
        <v>192</v>
      </c>
      <c r="F78" s="60"/>
      <c r="G78" s="60"/>
      <c r="H78" s="60"/>
      <c r="I78" s="60"/>
      <c r="J78" s="60"/>
      <c r="K78" s="60"/>
      <c r="L78" s="60"/>
      <c r="M78" s="60"/>
      <c r="N78" s="60"/>
      <c r="O78" s="60"/>
      <c r="P78" s="61"/>
      <c r="Q78" s="55"/>
    </row>
    <row r="79" spans="1:17">
      <c r="A79" s="84"/>
      <c r="B79" s="75" t="s">
        <v>1</v>
      </c>
      <c r="C79" s="50">
        <f>IF(Vin_eff&lt;Vout, ((Ioutmax/(Vin_eff/Vout)/eff)^2+1/12*(Vin_eff/L*(1-Vin_eff/Vout)/fsw)^2)^0.5, ((Ioutmax^2+1/12*(Vout/L*(1-Vout/Vin_eff)/fsw)^2)^0.5))</f>
        <v>5.624655768762338</v>
      </c>
      <c r="D79" s="76" t="s">
        <v>4</v>
      </c>
      <c r="E79" s="77" t="s">
        <v>163</v>
      </c>
      <c r="F79" s="60"/>
      <c r="G79" s="60"/>
      <c r="H79" s="60"/>
      <c r="I79" s="60"/>
      <c r="J79" s="60"/>
      <c r="K79" s="60"/>
      <c r="L79" s="60"/>
      <c r="M79" s="60"/>
      <c r="N79" s="60"/>
      <c r="O79" s="60"/>
      <c r="P79" s="61"/>
      <c r="Q79" s="55"/>
    </row>
    <row r="80" spans="1:17">
      <c r="A80" s="84"/>
      <c r="B80" s="75" t="s">
        <v>7</v>
      </c>
      <c r="C80" s="50">
        <f>IF(Vin_eff&lt;Vout, (Ioutmax/(Vin_eff/Vout)/eff+(1/2*Vin_eff/L*(1-Vin_eff/Vout)/fsw)), Ioutmax+1/2*(Vout*(1-Vout/Vin_eff)/L/fsw))</f>
        <v>6.2124393430384472</v>
      </c>
      <c r="D80" s="76" t="s">
        <v>4</v>
      </c>
      <c r="E80" s="77" t="s">
        <v>166</v>
      </c>
      <c r="F80" s="60"/>
      <c r="G80" s="60"/>
      <c r="H80" s="60"/>
      <c r="I80" s="60"/>
      <c r="J80" s="60"/>
      <c r="K80" s="60"/>
      <c r="L80" s="60"/>
      <c r="M80" s="60"/>
      <c r="N80" s="60"/>
      <c r="O80" s="60"/>
      <c r="P80" s="61"/>
      <c r="Q80" s="55"/>
    </row>
    <row r="81" spans="1:17">
      <c r="A81" s="84"/>
      <c r="B81" s="75" t="s">
        <v>207</v>
      </c>
      <c r="C81" s="50">
        <f>IF(Vin_eff&lt;Vout, (Ioutmax/(Vin_eff/Vout)/eff-(1/2*Vin_eff/L*(1-Vin_eff/Vout)/fsw)),Ioutmax-1/2*(Vout*(1-Vout/Vin_eff)/L/fsw))</f>
        <v>5.0156308324001486</v>
      </c>
      <c r="D81" s="76" t="s">
        <v>4</v>
      </c>
      <c r="E81" s="77" t="s">
        <v>167</v>
      </c>
      <c r="F81" s="60"/>
      <c r="G81" s="60"/>
      <c r="H81" s="60"/>
      <c r="I81" s="60"/>
      <c r="J81" s="60"/>
      <c r="K81" s="60"/>
      <c r="L81" s="60"/>
      <c r="M81" s="60"/>
      <c r="N81" s="60"/>
      <c r="O81" s="60"/>
      <c r="P81" s="61"/>
      <c r="Q81" s="55"/>
    </row>
    <row r="82" spans="1:17">
      <c r="A82" s="52"/>
      <c r="B82" s="75" t="s">
        <v>21</v>
      </c>
      <c r="C82" s="33">
        <v>1.2999999999999999E-2</v>
      </c>
      <c r="D82" s="76" t="s">
        <v>28</v>
      </c>
      <c r="E82" s="77" t="s">
        <v>15</v>
      </c>
      <c r="F82" s="60"/>
      <c r="G82" s="60"/>
      <c r="H82" s="60"/>
      <c r="I82" s="60"/>
      <c r="J82" s="60"/>
      <c r="K82" s="60"/>
      <c r="L82" s="60"/>
      <c r="M82" s="60"/>
      <c r="N82" s="60"/>
      <c r="O82" s="60"/>
      <c r="P82" s="61"/>
      <c r="Q82" s="55"/>
    </row>
    <row r="83" spans="1:17" ht="26.4">
      <c r="A83" s="52"/>
      <c r="B83" s="75" t="s">
        <v>61</v>
      </c>
      <c r="C83" s="33">
        <v>1.4E-2</v>
      </c>
      <c r="D83" s="76" t="s">
        <v>28</v>
      </c>
      <c r="E83" s="77" t="s">
        <v>233</v>
      </c>
      <c r="F83" s="60"/>
      <c r="G83" s="81"/>
      <c r="H83" s="82"/>
      <c r="I83" s="81"/>
      <c r="J83" s="79"/>
      <c r="K83" s="60"/>
      <c r="L83" s="60"/>
      <c r="M83" s="60"/>
      <c r="N83" s="60"/>
      <c r="O83" s="60"/>
      <c r="P83" s="61"/>
      <c r="Q83" s="55"/>
    </row>
    <row r="84" spans="1:17" hidden="1">
      <c r="A84" s="52"/>
      <c r="B84" s="75" t="s">
        <v>67</v>
      </c>
      <c r="C84" s="44">
        <v>5.0000000000000001E-9</v>
      </c>
      <c r="D84" s="76" t="s">
        <v>68</v>
      </c>
      <c r="E84" s="77" t="s">
        <v>70</v>
      </c>
      <c r="F84" s="60"/>
      <c r="G84" s="81"/>
      <c r="H84" s="82"/>
      <c r="I84" s="81"/>
      <c r="J84" s="79"/>
      <c r="K84" s="60"/>
      <c r="L84" s="60"/>
      <c r="M84" s="60"/>
      <c r="N84" s="60"/>
      <c r="O84" s="60"/>
      <c r="P84" s="61"/>
      <c r="Q84" s="55"/>
    </row>
    <row r="85" spans="1:17" hidden="1">
      <c r="A85" s="52"/>
      <c r="B85" s="75" t="s">
        <v>219</v>
      </c>
      <c r="C85" s="44">
        <v>2.0000000000000001E-10</v>
      </c>
      <c r="D85" s="76" t="s">
        <v>9</v>
      </c>
      <c r="E85" s="77" t="s">
        <v>220</v>
      </c>
      <c r="F85" s="60"/>
      <c r="G85" s="81"/>
      <c r="H85" s="82"/>
      <c r="I85" s="81"/>
      <c r="J85" s="79"/>
      <c r="K85" s="60"/>
      <c r="L85" s="60"/>
      <c r="M85" s="60"/>
      <c r="N85" s="60"/>
      <c r="O85" s="60"/>
      <c r="P85" s="61"/>
      <c r="Q85" s="55"/>
    </row>
    <row r="86" spans="1:17">
      <c r="A86" s="52"/>
      <c r="B86" s="75" t="s">
        <v>62</v>
      </c>
      <c r="C86" s="110">
        <v>1.3000000000000001E-8</v>
      </c>
      <c r="D86" s="76" t="s">
        <v>8</v>
      </c>
      <c r="E86" s="77" t="s">
        <v>193</v>
      </c>
      <c r="F86" s="60"/>
      <c r="G86" s="91"/>
      <c r="H86" s="60"/>
      <c r="I86" s="60"/>
      <c r="J86" s="60"/>
      <c r="K86" s="60"/>
      <c r="L86" s="60"/>
      <c r="M86" s="60"/>
      <c r="N86" s="60"/>
      <c r="O86" s="60"/>
      <c r="P86" s="61"/>
      <c r="Q86" s="55"/>
    </row>
    <row r="87" spans="1:17">
      <c r="A87" s="52"/>
      <c r="B87" s="75" t="s">
        <v>63</v>
      </c>
      <c r="C87" s="110">
        <v>1.3000000000000001E-8</v>
      </c>
      <c r="D87" s="76" t="s">
        <v>8</v>
      </c>
      <c r="E87" s="77" t="s">
        <v>194</v>
      </c>
      <c r="F87" s="60"/>
      <c r="G87" s="60"/>
      <c r="H87" s="60"/>
      <c r="I87" s="60"/>
      <c r="J87" s="60"/>
      <c r="K87" s="60"/>
      <c r="L87" s="60"/>
      <c r="M87" s="60"/>
      <c r="N87" s="60"/>
      <c r="O87" s="60"/>
      <c r="P87" s="61"/>
      <c r="Q87" s="55"/>
    </row>
    <row r="88" spans="1:17" ht="26.4">
      <c r="A88" s="52"/>
      <c r="B88" s="75" t="s">
        <v>64</v>
      </c>
      <c r="C88" s="33">
        <v>2.1999999999999999E-2</v>
      </c>
      <c r="D88" s="76" t="s">
        <v>28</v>
      </c>
      <c r="E88" s="77" t="s">
        <v>238</v>
      </c>
      <c r="F88" s="60"/>
      <c r="G88" s="60"/>
      <c r="H88" s="60"/>
      <c r="I88" s="60"/>
      <c r="J88" s="60"/>
      <c r="K88" s="60"/>
      <c r="L88" s="60"/>
      <c r="M88" s="60"/>
      <c r="N88" s="60"/>
      <c r="O88" s="60"/>
      <c r="P88" s="61"/>
      <c r="Q88" s="55"/>
    </row>
    <row r="89" spans="1:17" hidden="1">
      <c r="A89" s="52"/>
      <c r="B89" s="75" t="s">
        <v>69</v>
      </c>
      <c r="C89" s="44">
        <v>5.0000000000000001E-9</v>
      </c>
      <c r="D89" s="76" t="s">
        <v>68</v>
      </c>
      <c r="E89" s="77" t="s">
        <v>70</v>
      </c>
      <c r="F89" s="60"/>
      <c r="G89" s="60"/>
      <c r="H89" s="60"/>
      <c r="I89" s="60"/>
      <c r="J89" s="60"/>
      <c r="K89" s="60"/>
      <c r="L89" s="60"/>
      <c r="M89" s="60"/>
      <c r="N89" s="60"/>
      <c r="O89" s="60"/>
      <c r="P89" s="61"/>
      <c r="Q89" s="55"/>
    </row>
    <row r="90" spans="1:17" hidden="1">
      <c r="A90" s="52"/>
      <c r="B90" s="75" t="s">
        <v>180</v>
      </c>
      <c r="C90" s="44">
        <v>5.0000000000000001E-9</v>
      </c>
      <c r="D90" s="76" t="s">
        <v>68</v>
      </c>
      <c r="E90" s="77" t="s">
        <v>181</v>
      </c>
      <c r="F90" s="60"/>
      <c r="G90" s="60"/>
      <c r="H90" s="60"/>
      <c r="I90" s="60"/>
      <c r="J90" s="60"/>
      <c r="K90" s="60"/>
      <c r="L90" s="60"/>
      <c r="M90" s="60"/>
      <c r="N90" s="60"/>
      <c r="O90" s="60"/>
      <c r="P90" s="61"/>
      <c r="Q90" s="55"/>
    </row>
    <row r="91" spans="1:17">
      <c r="A91" s="52"/>
      <c r="B91" s="75" t="s">
        <v>65</v>
      </c>
      <c r="C91" s="85">
        <v>1E-8</v>
      </c>
      <c r="D91" s="76" t="s">
        <v>8</v>
      </c>
      <c r="E91" s="77" t="s">
        <v>72</v>
      </c>
      <c r="F91" s="60"/>
      <c r="G91" s="60"/>
      <c r="H91" s="60"/>
      <c r="I91" s="60"/>
      <c r="J91" s="60"/>
      <c r="K91" s="60"/>
      <c r="L91" s="60"/>
      <c r="M91" s="60"/>
      <c r="N91" s="60"/>
      <c r="O91" s="60"/>
      <c r="P91" s="61"/>
      <c r="Q91" s="55"/>
    </row>
    <row r="92" spans="1:17">
      <c r="A92" s="52"/>
      <c r="B92" s="75" t="s">
        <v>66</v>
      </c>
      <c r="C92" s="26">
        <v>0.8</v>
      </c>
      <c r="D92" s="76" t="s">
        <v>3</v>
      </c>
      <c r="E92" s="77" t="s">
        <v>29</v>
      </c>
      <c r="F92" s="60"/>
      <c r="G92" s="60"/>
      <c r="H92" s="60"/>
      <c r="I92" s="60"/>
      <c r="J92" s="60"/>
      <c r="K92" s="60"/>
      <c r="L92" s="60"/>
      <c r="M92" s="60"/>
      <c r="N92" s="60"/>
      <c r="O92" s="60"/>
      <c r="P92" s="61"/>
      <c r="Q92" s="55"/>
    </row>
    <row r="93" spans="1:17" ht="26.4">
      <c r="A93" s="52"/>
      <c r="B93" s="75" t="s">
        <v>55</v>
      </c>
      <c r="C93" s="33">
        <v>1.0999999999999999E-2</v>
      </c>
      <c r="D93" s="76" t="s">
        <v>28</v>
      </c>
      <c r="E93" s="77" t="s">
        <v>234</v>
      </c>
      <c r="F93" s="60"/>
      <c r="G93" s="81"/>
      <c r="H93" s="82"/>
      <c r="I93" s="81"/>
      <c r="J93" s="79"/>
      <c r="K93" s="60"/>
      <c r="L93" s="60"/>
      <c r="M93" s="60"/>
      <c r="N93" s="60"/>
      <c r="O93" s="60"/>
      <c r="P93" s="61"/>
      <c r="Q93" s="55"/>
    </row>
    <row r="94" spans="1:17">
      <c r="A94" s="52"/>
      <c r="B94" s="75" t="s">
        <v>56</v>
      </c>
      <c r="C94" s="85">
        <v>8.9999999999999995E-9</v>
      </c>
      <c r="D94" s="76" t="s">
        <v>8</v>
      </c>
      <c r="E94" s="77" t="s">
        <v>204</v>
      </c>
      <c r="F94" s="60"/>
      <c r="G94" s="91"/>
      <c r="H94" s="60"/>
      <c r="I94" s="60"/>
      <c r="J94" s="60"/>
      <c r="K94" s="60"/>
      <c r="L94" s="60"/>
      <c r="M94" s="60"/>
      <c r="N94" s="60"/>
      <c r="O94" s="60"/>
      <c r="P94" s="61"/>
      <c r="Q94" s="55"/>
    </row>
    <row r="95" spans="1:17">
      <c r="A95" s="52"/>
      <c r="B95" s="75" t="s">
        <v>57</v>
      </c>
      <c r="C95" s="85">
        <v>1.3000000000000001E-8</v>
      </c>
      <c r="D95" s="76" t="s">
        <v>8</v>
      </c>
      <c r="E95" s="77" t="s">
        <v>203</v>
      </c>
      <c r="F95" s="60"/>
      <c r="G95" s="60"/>
      <c r="H95" s="60"/>
      <c r="I95" s="60"/>
      <c r="J95" s="60"/>
      <c r="K95" s="60"/>
      <c r="L95" s="60"/>
      <c r="M95" s="60"/>
      <c r="N95" s="60"/>
      <c r="O95" s="60"/>
      <c r="P95" s="61"/>
      <c r="Q95" s="55"/>
    </row>
    <row r="96" spans="1:17" ht="26.4">
      <c r="A96" s="52"/>
      <c r="B96" s="75" t="s">
        <v>58</v>
      </c>
      <c r="C96" s="33">
        <v>0.01</v>
      </c>
      <c r="D96" s="76" t="s">
        <v>28</v>
      </c>
      <c r="E96" s="77" t="s">
        <v>239</v>
      </c>
      <c r="F96" s="60"/>
      <c r="G96" s="60"/>
      <c r="H96" s="60"/>
      <c r="I96" s="60"/>
      <c r="J96" s="60"/>
      <c r="K96" s="60"/>
      <c r="L96" s="60"/>
      <c r="M96" s="60"/>
      <c r="N96" s="60"/>
      <c r="O96" s="60"/>
      <c r="P96" s="61"/>
      <c r="Q96" s="55"/>
    </row>
    <row r="97" spans="1:17">
      <c r="A97" s="52"/>
      <c r="B97" s="75" t="s">
        <v>59</v>
      </c>
      <c r="C97" s="85">
        <v>2E-8</v>
      </c>
      <c r="D97" s="76" t="s">
        <v>8</v>
      </c>
      <c r="E97" s="77" t="s">
        <v>72</v>
      </c>
      <c r="F97" s="60"/>
      <c r="G97" s="60"/>
      <c r="H97" s="60"/>
      <c r="I97" s="60"/>
      <c r="J97" s="60"/>
      <c r="K97" s="60"/>
      <c r="L97" s="60"/>
      <c r="M97" s="60"/>
      <c r="N97" s="60"/>
      <c r="O97" s="60"/>
      <c r="P97" s="61"/>
      <c r="Q97" s="55"/>
    </row>
    <row r="98" spans="1:17">
      <c r="A98" s="52"/>
      <c r="B98" s="75" t="s">
        <v>60</v>
      </c>
      <c r="C98" s="37">
        <v>1</v>
      </c>
      <c r="D98" s="76" t="s">
        <v>3</v>
      </c>
      <c r="E98" s="77" t="s">
        <v>29</v>
      </c>
      <c r="F98" s="60"/>
      <c r="G98" s="60"/>
      <c r="H98" s="60"/>
      <c r="I98" s="60"/>
      <c r="J98" s="60"/>
      <c r="K98" s="60"/>
      <c r="L98" s="60"/>
      <c r="M98" s="60"/>
      <c r="N98" s="60"/>
      <c r="O98" s="60"/>
      <c r="P98" s="61"/>
      <c r="Q98" s="55"/>
    </row>
    <row r="99" spans="1:17">
      <c r="A99" s="52"/>
      <c r="B99" s="75" t="s">
        <v>159</v>
      </c>
      <c r="C99" s="51">
        <v>0</v>
      </c>
      <c r="D99" s="76" t="s">
        <v>9</v>
      </c>
      <c r="E99" s="77" t="s">
        <v>187</v>
      </c>
      <c r="F99" s="60"/>
      <c r="G99" s="60"/>
      <c r="H99" s="60"/>
      <c r="I99" s="60"/>
      <c r="J99" s="60"/>
      <c r="K99" s="60"/>
      <c r="L99" s="60"/>
      <c r="M99" s="60"/>
      <c r="N99" s="60"/>
      <c r="O99" s="60"/>
      <c r="P99" s="61"/>
      <c r="Q99" s="55"/>
    </row>
    <row r="100" spans="1:17">
      <c r="A100" s="52"/>
      <c r="B100" s="75" t="s">
        <v>117</v>
      </c>
      <c r="C100" s="51">
        <v>0</v>
      </c>
      <c r="D100" s="76" t="s">
        <v>9</v>
      </c>
      <c r="E100" s="77" t="s">
        <v>116</v>
      </c>
      <c r="F100" s="60"/>
      <c r="G100" s="60"/>
      <c r="H100" s="60"/>
      <c r="I100" s="60"/>
      <c r="J100" s="60"/>
      <c r="K100" s="60"/>
      <c r="L100" s="60"/>
      <c r="M100" s="60"/>
      <c r="N100" s="60"/>
      <c r="O100" s="60"/>
      <c r="P100" s="61"/>
      <c r="Q100" s="55"/>
    </row>
    <row r="101" spans="1:17">
      <c r="A101" s="52"/>
      <c r="B101" s="83" t="s">
        <v>118</v>
      </c>
      <c r="C101" s="26">
        <v>2</v>
      </c>
      <c r="D101" s="76" t="s">
        <v>196</v>
      </c>
      <c r="E101" s="77" t="s">
        <v>145</v>
      </c>
      <c r="F101" s="60"/>
      <c r="G101" s="60"/>
      <c r="H101" s="60"/>
      <c r="I101" s="60"/>
      <c r="J101" s="60"/>
      <c r="K101" s="60"/>
      <c r="L101" s="60"/>
      <c r="M101" s="60"/>
      <c r="N101" s="60"/>
      <c r="O101" s="60"/>
      <c r="P101" s="61"/>
      <c r="Q101" s="55"/>
    </row>
    <row r="102" spans="1:17">
      <c r="A102" s="52"/>
      <c r="B102" s="83" t="s">
        <v>119</v>
      </c>
      <c r="C102" s="29">
        <f>Rpcb*(ILrms^2)</f>
        <v>63.273505034142893</v>
      </c>
      <c r="D102" s="76" t="s">
        <v>10</v>
      </c>
      <c r="E102" s="77" t="s">
        <v>128</v>
      </c>
      <c r="F102" s="60"/>
      <c r="G102" s="60"/>
      <c r="H102" s="60"/>
      <c r="I102" s="60"/>
      <c r="J102" s="60"/>
      <c r="K102" s="60"/>
      <c r="L102" s="60"/>
      <c r="M102" s="60"/>
      <c r="N102" s="60"/>
      <c r="O102" s="60"/>
      <c r="P102" s="61"/>
      <c r="Q102" s="55"/>
    </row>
    <row r="103" spans="1:17">
      <c r="A103" s="84"/>
      <c r="B103" s="75" t="s">
        <v>74</v>
      </c>
      <c r="C103" s="29">
        <f>(ILrms)^2*DCR*1000</f>
        <v>411.27778272192876</v>
      </c>
      <c r="D103" s="76" t="s">
        <v>10</v>
      </c>
      <c r="E103" s="77" t="s">
        <v>18</v>
      </c>
      <c r="F103" s="60"/>
      <c r="G103" s="60"/>
      <c r="H103" s="60"/>
      <c r="I103" s="60"/>
      <c r="J103" s="60"/>
      <c r="K103" s="60"/>
      <c r="L103" s="60"/>
      <c r="M103" s="60"/>
      <c r="N103" s="60"/>
      <c r="O103" s="60"/>
      <c r="P103" s="61"/>
      <c r="Q103" s="55"/>
    </row>
    <row r="104" spans="1:17" ht="37.950000000000003" customHeight="1">
      <c r="A104" s="84"/>
      <c r="B104" s="75" t="s">
        <v>161</v>
      </c>
      <c r="C104" s="25">
        <v>521</v>
      </c>
      <c r="D104" s="76" t="s">
        <v>10</v>
      </c>
      <c r="E104" s="77" t="s">
        <v>229</v>
      </c>
      <c r="F104" s="60"/>
      <c r="G104" s="60"/>
      <c r="H104" s="60"/>
      <c r="I104" s="60"/>
      <c r="J104" s="60"/>
      <c r="K104" s="60"/>
      <c r="L104" s="60"/>
      <c r="M104" s="60"/>
      <c r="N104" s="60"/>
      <c r="O104" s="60"/>
      <c r="P104" s="61"/>
      <c r="Q104" s="55"/>
    </row>
    <row r="105" spans="1:17">
      <c r="A105" s="84"/>
      <c r="B105" s="83" t="s">
        <v>235</v>
      </c>
      <c r="C105" s="29">
        <f>IF(Vin_eff&lt;Vout, ((0.001+0.00000001*fsw)*IF(AND(Vout&gt;Vin_eff, Vin_eff&gt;6.2), Vin_eff, Vout)+(1-Vin_eff/Vout)*ILrms^2*BST_LS_Rdson+(Vin_eff/Vout)*ILrms^2*BST_HS_Rdson+1/2*ILpeak*(Vout+BST_HS_Vd)*BST_LS_rise_time*fsw+1/2*ILvalley*(Vout+BST_HS_Vd)*BST_LS_fall_time*fsw+1/2*0.0000000005*(Vout+BST_HS_Vd)*(Vout+BST_HS_Vd)*fsw+(ILpeak+ILvalley)*BST_HS_Vd*BST_HS_dead_time*fsw+Vout*0.000000005*fsw)*1000+ (ILrms)^2*(BUCK_HS_Rdson)*1000, ((0.001+(BUCK_HS_Qg+BUCK_LS_Qg)*fsw)*IF(AND(Vin_eff&gt;Vout, Vout&gt;6.2), Vout, Vin_eff)+BST_HS_Rdson*ILrms^2)*1000+ ((Vout/Vin_eff)*ILrms^2*BUCK_HS_Rdson+1/2*ILpeak*(Vin_eff+BUCK_LS_Vd)*BUCK_HS_fall_time*fsw+1/2*ILvalley*(Vin_eff+BUCK_LS_Vd)*BUCK_HS_rise_time*fsw+1/2*BUCK_HS_Coss*(Vin_eff+BUCK_LS_Vd)*(Vin_eff+BUCK_LS_Vd)*fsw)*1000+ ((1-Vout/Vin_eff)*ILrms^2*BUCK_LS_Rdson+(ILpeak+ILvalley)*BUCK_LS_Vd*BUCK_LS_dead_time*fsw+Vin_eff*BUCK_LS_Qrr*fsw)*1000)</f>
        <v>1270.2620212153545</v>
      </c>
      <c r="D105" s="76" t="s">
        <v>10</v>
      </c>
      <c r="E105" s="77" t="s">
        <v>240</v>
      </c>
      <c r="F105" s="60"/>
      <c r="G105" s="60"/>
      <c r="H105" s="60"/>
      <c r="I105" s="60"/>
      <c r="J105" s="60"/>
      <c r="K105" s="60"/>
      <c r="L105" s="60"/>
      <c r="M105" s="60"/>
      <c r="N105" s="60"/>
      <c r="O105" s="60"/>
      <c r="P105" s="61"/>
      <c r="Q105" s="55"/>
    </row>
    <row r="106" spans="1:17">
      <c r="A106" s="84"/>
      <c r="B106" s="92" t="s">
        <v>115</v>
      </c>
      <c r="C106" s="30">
        <f>Ioutmax*Ioutmax*R_1</f>
        <v>160</v>
      </c>
      <c r="D106" s="76" t="s">
        <v>10</v>
      </c>
      <c r="E106" s="93" t="s">
        <v>189</v>
      </c>
      <c r="F106" s="60"/>
      <c r="G106" s="60"/>
      <c r="H106" s="60"/>
      <c r="I106" s="60"/>
      <c r="J106" s="60"/>
      <c r="K106" s="60"/>
      <c r="L106" s="60"/>
      <c r="M106" s="60"/>
      <c r="N106" s="60"/>
      <c r="O106" s="60"/>
      <c r="P106" s="61"/>
      <c r="Q106" s="55"/>
    </row>
    <row r="107" spans="1:17">
      <c r="A107" s="84"/>
      <c r="B107" s="92" t="s">
        <v>160</v>
      </c>
      <c r="C107" s="30">
        <f>IF(Vin_eff&lt;Vout, 2/3*C_bst_snubber*(Vout+BST_HS_Vd)*(Vout+BST_HS_Vd)*fsw*1000, 2/3*C_buck_snubber*(Vin_eff+BUCK_LS_Vd)*(Vin_eff+BUCK_LS_Vd)*fsw*1000)</f>
        <v>0</v>
      </c>
      <c r="D107" s="76" t="s">
        <v>10</v>
      </c>
      <c r="E107" s="93" t="s">
        <v>190</v>
      </c>
      <c r="F107" s="60"/>
      <c r="G107" s="60"/>
      <c r="H107" s="60"/>
      <c r="I107" s="60"/>
      <c r="J107" s="60"/>
      <c r="K107" s="60"/>
      <c r="L107" s="60"/>
      <c r="M107" s="60"/>
      <c r="N107" s="60"/>
      <c r="O107" s="60"/>
      <c r="P107" s="61"/>
      <c r="Q107" s="55"/>
    </row>
    <row r="108" spans="1:17">
      <c r="A108" s="84"/>
      <c r="B108" s="92" t="s">
        <v>188</v>
      </c>
      <c r="C108" s="30">
        <f>IF(Vin_eff&lt;Vout, 1000*ESR*(G108+H108), 0)</f>
        <v>17.238922357743455</v>
      </c>
      <c r="D108" s="88" t="s">
        <v>10</v>
      </c>
      <c r="E108" s="93" t="s">
        <v>191</v>
      </c>
      <c r="F108" s="111">
        <f>ESR*Cout_c*Cout_e/(Cout_c+Cout_e)</f>
        <v>2.9565217391304346E-9</v>
      </c>
      <c r="G108" s="111">
        <f>(fsw*(Cout_e/(Cout_c+Cout_e))^2*(Ioutmax^2*(Vout-Vin_eff)/Vout/fsw+2*Ioutmax*((1-EXP((-Vin_eff/Vout)/tou/fsw))/(1-EXP(-1/tou/fsw))*(ILpeak+ILvalley)/2*tou*(EXP(-1/tou*(1-Vin_eff/Vout)/fsw)-1))-((1-EXP((-Vin_eff/Vout)/tou/fsw))/(1-EXP(-1/tou/fsw))*(ILpeak+ILvalley)/2)^2*tou/2*(EXP(-2/tou*(1-Vin_eff/Vout)/fsw)-1)))</f>
        <v>3.8514129466235754</v>
      </c>
      <c r="H108" s="111">
        <f>(fsw*(Cout_e/(Cout_c+Cout_e))^2*((((ILpeak+ILvalley)/2-Ioutmax)^2*Vin_eff/Vout/fsw+2*((ILpeak+ILvalley)/2-Ioutmax)*((1-EXP(-(1-Vin_eff/Vout)/tou/fsw))/(1-EXP(-1/tou/fsw))*(ILpeak+ILvalley)/2*tou*(EXP(-1/tou*(Vin_eff/Vout)/fsw)-1))-((1-EXP(-(1-Vin_eff/Vout)/tou/fsw))/(1-EXP(-1/tou/fsw))*(ILpeak+ILvalley)/2)^2*tou/2*(EXP(-2/tou*(1-Vin_eff/Vout/fsw))-1))))</f>
        <v>1.8948945059575768</v>
      </c>
      <c r="I108" s="60"/>
      <c r="J108" s="60"/>
      <c r="K108" s="60"/>
      <c r="L108" s="60"/>
      <c r="M108" s="60"/>
      <c r="N108" s="60"/>
      <c r="O108" s="60"/>
      <c r="P108" s="61"/>
      <c r="Q108" s="55"/>
    </row>
    <row r="109" spans="1:17" ht="13.8">
      <c r="A109" s="84"/>
      <c r="B109" s="87" t="s">
        <v>206</v>
      </c>
      <c r="C109" s="31">
        <f>IF(Vin_eff&lt;Vout, Vout*Ioutmax/(Vout*Ioutmax+(C102+C103+C104+C105+C106+C107+C108)/1000), Vout*Ioutmax/(Vout*Ioutmax+(C102+C103+C104+C105+C106+C107)/1000))</f>
        <v>0.95156811248999251</v>
      </c>
      <c r="D109" s="88"/>
      <c r="E109" s="93" t="s">
        <v>168</v>
      </c>
      <c r="F109" s="60"/>
      <c r="G109" s="60"/>
      <c r="H109" s="60"/>
      <c r="I109" s="60"/>
      <c r="J109" s="60"/>
      <c r="K109" s="60"/>
      <c r="L109" s="60"/>
      <c r="M109" s="60"/>
      <c r="N109" s="60"/>
      <c r="O109" s="60"/>
      <c r="P109" s="61"/>
      <c r="Q109" s="55"/>
    </row>
    <row r="110" spans="1:17" ht="26.4">
      <c r="A110" s="84"/>
      <c r="B110" s="75" t="s">
        <v>199</v>
      </c>
      <c r="C110" s="25">
        <v>33</v>
      </c>
      <c r="D110" s="76" t="s">
        <v>114</v>
      </c>
      <c r="E110" s="77" t="s">
        <v>236</v>
      </c>
      <c r="F110" s="60"/>
      <c r="G110" s="60"/>
      <c r="H110" s="60"/>
      <c r="I110" s="60"/>
      <c r="J110" s="60"/>
      <c r="K110" s="60"/>
      <c r="L110" s="60"/>
      <c r="M110" s="60"/>
      <c r="N110" s="60"/>
      <c r="O110" s="60"/>
      <c r="P110" s="61"/>
      <c r="Q110" s="55"/>
    </row>
    <row r="111" spans="1:17" ht="27" thickBot="1">
      <c r="A111" s="84"/>
      <c r="B111" s="94" t="s">
        <v>241</v>
      </c>
      <c r="C111" s="32">
        <f>C110*(C105)/1000</f>
        <v>41.918646700106699</v>
      </c>
      <c r="D111" s="95" t="s">
        <v>71</v>
      </c>
      <c r="E111" s="96" t="s">
        <v>200</v>
      </c>
      <c r="F111" s="97"/>
      <c r="G111" s="97"/>
      <c r="H111" s="97"/>
      <c r="I111" s="97"/>
      <c r="J111" s="97"/>
      <c r="K111" s="97"/>
      <c r="L111" s="97"/>
      <c r="M111" s="97"/>
      <c r="N111" s="97"/>
      <c r="O111" s="97"/>
      <c r="P111" s="98"/>
      <c r="Q111" s="55"/>
    </row>
    <row r="112" spans="1:17" ht="13.8" thickTop="1">
      <c r="A112" s="84"/>
      <c r="B112" s="99"/>
      <c r="C112" s="100"/>
      <c r="D112" s="99"/>
      <c r="E112" s="101"/>
      <c r="F112" s="102"/>
      <c r="G112" s="102"/>
      <c r="H112" s="102"/>
      <c r="I112" s="102"/>
      <c r="J112" s="102"/>
      <c r="K112" s="102"/>
      <c r="L112" s="102"/>
      <c r="M112" s="102"/>
      <c r="N112" s="102"/>
      <c r="O112" s="102"/>
      <c r="P112" s="102"/>
      <c r="Q112" s="55"/>
    </row>
    <row r="115" spans="3:8">
      <c r="D115" s="105"/>
      <c r="H115" s="107"/>
    </row>
    <row r="116" spans="3:8">
      <c r="C116" s="106"/>
    </row>
  </sheetData>
  <sheetProtection algorithmName="SHA-512" hashValue="738VTgK+wX31fcCWyhCx0oVcWAndsYFJCnYM8itqvt4U7ktw9iZZJ/voWu+kfQiePFb1EGFa4yTl7Ia1SEkxqQ==" saltValue="bPskTuYdEhT8XSMh51Pu6Q==" spinCount="100000" sheet="1" objects="1" scenarios="1"/>
  <dataConsolidate/>
  <customSheetViews>
    <customSheetView guid="{0F8159A6-236F-4F54-A569-A835A6AD5DA8}" topLeftCell="A94">
      <selection activeCell="C116" sqref="C116"/>
      <pageMargins left="0.75" right="0.75" top="1" bottom="1" header="0.5" footer="0.5"/>
      <pageSetup orientation="portrait" r:id="rId1"/>
      <headerFooter alignWithMargins="0"/>
    </customSheetView>
  </customSheetViews>
  <mergeCells count="68">
    <mergeCell ref="E60:E61"/>
    <mergeCell ref="F12:P12"/>
    <mergeCell ref="B77:E77"/>
    <mergeCell ref="F59:P59"/>
    <mergeCell ref="B13:E13"/>
    <mergeCell ref="B59:E59"/>
    <mergeCell ref="F31:P31"/>
    <mergeCell ref="B46:B47"/>
    <mergeCell ref="C46:C47"/>
    <mergeCell ref="D46:D47"/>
    <mergeCell ref="E46:E47"/>
    <mergeCell ref="F46:F47"/>
    <mergeCell ref="G46:G47"/>
    <mergeCell ref="P46:P47"/>
    <mergeCell ref="B34:B35"/>
    <mergeCell ref="C34:C35"/>
    <mergeCell ref="D34:D35"/>
    <mergeCell ref="B7:J7"/>
    <mergeCell ref="B2:P2"/>
    <mergeCell ref="B3:P3"/>
    <mergeCell ref="B4:P4"/>
    <mergeCell ref="B6:P6"/>
    <mergeCell ref="E34:E35"/>
    <mergeCell ref="F34:F35"/>
    <mergeCell ref="G34:G35"/>
    <mergeCell ref="P34:P35"/>
    <mergeCell ref="B36:B37"/>
    <mergeCell ref="C36:C37"/>
    <mergeCell ref="D36:D37"/>
    <mergeCell ref="E36:E37"/>
    <mergeCell ref="F36:F37"/>
    <mergeCell ref="G36:G37"/>
    <mergeCell ref="P36:P37"/>
    <mergeCell ref="G38:G39"/>
    <mergeCell ref="P38:P39"/>
    <mergeCell ref="B40:B41"/>
    <mergeCell ref="C40:C41"/>
    <mergeCell ref="D40:D41"/>
    <mergeCell ref="E40:E41"/>
    <mergeCell ref="F40:F41"/>
    <mergeCell ref="G40:G41"/>
    <mergeCell ref="P40:P41"/>
    <mergeCell ref="B38:B39"/>
    <mergeCell ref="C38:C39"/>
    <mergeCell ref="D38:D39"/>
    <mergeCell ref="E38:E39"/>
    <mergeCell ref="F38:F39"/>
    <mergeCell ref="G42:G43"/>
    <mergeCell ref="P42:P43"/>
    <mergeCell ref="P44:P45"/>
    <mergeCell ref="B44:B45"/>
    <mergeCell ref="C44:C45"/>
    <mergeCell ref="D44:D45"/>
    <mergeCell ref="E44:E45"/>
    <mergeCell ref="F44:F45"/>
    <mergeCell ref="G44:G45"/>
    <mergeCell ref="B42:B43"/>
    <mergeCell ref="C42:C43"/>
    <mergeCell ref="D42:D43"/>
    <mergeCell ref="E42:E43"/>
    <mergeCell ref="F42:F43"/>
    <mergeCell ref="G48:G49"/>
    <mergeCell ref="P48:P49"/>
    <mergeCell ref="B48:B49"/>
    <mergeCell ref="C48:C49"/>
    <mergeCell ref="D48:D49"/>
    <mergeCell ref="E48:E49"/>
    <mergeCell ref="F48:F49"/>
  </mergeCells>
  <phoneticPr fontId="2" type="noConversion"/>
  <conditionalFormatting sqref="C65">
    <cfRule type="expression" dxfId="12" priority="10">
      <formula>$C$62="Boost"</formula>
    </cfRule>
    <cfRule type="expression" dxfId="11" priority="11">
      <formula>$C$62="Buck"</formula>
    </cfRule>
  </conditionalFormatting>
  <conditionalFormatting sqref="C24">
    <cfRule type="expression" dxfId="10" priority="8">
      <formula>#REF!="Disable"</formula>
    </cfRule>
    <cfRule type="expression" dxfId="9" priority="9">
      <formula>#REF!="Enable"</formula>
    </cfRule>
  </conditionalFormatting>
  <conditionalFormatting sqref="C58">
    <cfRule type="expression" dxfId="8" priority="6">
      <formula>#REF!="External"</formula>
    </cfRule>
    <cfRule type="expression" dxfId="7" priority="7">
      <formula>#REF!="Internal"</formula>
    </cfRule>
  </conditionalFormatting>
  <conditionalFormatting sqref="C57">
    <cfRule type="expression" dxfId="6" priority="4">
      <formula>#REF!="External"</formula>
    </cfRule>
    <cfRule type="expression" dxfId="5" priority="5">
      <formula>#REF!="Internal"</formula>
    </cfRule>
  </conditionalFormatting>
  <conditionalFormatting sqref="C22">
    <cfRule type="expression" dxfId="4" priority="27" stopIfTrue="1">
      <formula>#REF!="External"</formula>
    </cfRule>
    <cfRule type="expression" dxfId="3" priority="28" stopIfTrue="1">
      <formula>#REF!="Internal"</formula>
    </cfRule>
  </conditionalFormatting>
  <conditionalFormatting sqref="C23">
    <cfRule type="expression" dxfId="2" priority="29">
      <formula>#REF!="External"</formula>
    </cfRule>
    <cfRule type="expression" dxfId="1" priority="30">
      <formula>#REF!="Internal"</formula>
    </cfRule>
  </conditionalFormatting>
  <conditionalFormatting sqref="C54">
    <cfRule type="cellIs" dxfId="0" priority="1" operator="greaterThan">
      <formula>7</formula>
    </cfRule>
  </conditionalFormatting>
  <dataValidations count="5">
    <dataValidation type="list" allowBlank="1" showInputMessage="1" showErrorMessage="1" sqref="C18" xr:uid="{00000000-0002-0000-0000-000000000000}">
      <formula1>"Internal, External"</formula1>
    </dataValidation>
    <dataValidation type="list" allowBlank="1" showInputMessage="1" showErrorMessage="1" sqref="C20" xr:uid="{00000000-0002-0000-0000-000002000000}">
      <formula1>"FPWM, APFM"</formula1>
    </dataValidation>
    <dataValidation type="list" allowBlank="1" showInputMessage="1" showErrorMessage="1" sqref="H47" xr:uid="{00000000-0002-0000-0000-00000A000000}">
      <formula1>"OFF -0,ON -1"</formula1>
    </dataValidation>
    <dataValidation type="list" allowBlank="1" showInputMessage="1" showErrorMessage="1" sqref="I47:K47" xr:uid="{00000000-0002-0000-0000-00000B000000}">
      <formula1>"DIS -0,ENA -1"</formula1>
    </dataValidation>
    <dataValidation type="custom" allowBlank="1" showInputMessage="1" showErrorMessage="1" sqref="S16" xr:uid="{00000000-0002-0000-0000-00000E000000}">
      <formula1>"AND(S15=""Internal""）"</formula1>
    </dataValidation>
  </dataValidations>
  <pageMargins left="0.75" right="0.75" top="1" bottom="1" header="0.5" footer="0.5"/>
  <pageSetup orientation="portrait" r:id="rId2"/>
  <headerFooter alignWithMargins="0"/>
  <drawing r:id="rId3"/>
  <legacyDrawing r:id="rId4"/>
  <oleObjects>
    <mc:AlternateContent xmlns:mc="http://schemas.openxmlformats.org/markup-compatibility/2006">
      <mc:Choice Requires="x14">
        <oleObject progId="Visio.Drawing.11" shapeId="1209" r:id="rId5">
          <objectPr defaultSize="0" autoPict="0" r:id="rId6">
            <anchor moveWithCells="1">
              <from>
                <xdr:col>5</xdr:col>
                <xdr:colOff>60960</xdr:colOff>
                <xdr:row>12</xdr:row>
                <xdr:rowOff>38100</xdr:rowOff>
              </from>
              <to>
                <xdr:col>15</xdr:col>
                <xdr:colOff>198120</xdr:colOff>
                <xdr:row>32</xdr:row>
                <xdr:rowOff>160020</xdr:rowOff>
              </to>
            </anchor>
          </objectPr>
        </oleObject>
      </mc:Choice>
      <mc:Fallback>
        <oleObject progId="Visio.Drawing.11" shapeId="1209" r:id="rId5"/>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44"/>
  <sheetViews>
    <sheetView topLeftCell="C1" zoomScale="85" zoomScaleNormal="85" workbookViewId="0">
      <selection activeCell="AA3" sqref="AA3:AA43"/>
    </sheetView>
  </sheetViews>
  <sheetFormatPr defaultRowHeight="13.2"/>
  <cols>
    <col min="1" max="1" width="4" bestFit="1" customWidth="1"/>
    <col min="2" max="2" width="9.6640625" customWidth="1"/>
    <col min="3" max="3" width="10.5546875" bestFit="1" customWidth="1"/>
    <col min="5" max="5" width="8" customWidth="1"/>
    <col min="7" max="7" width="7.88671875" customWidth="1"/>
    <col min="8" max="9" width="8.33203125" customWidth="1"/>
    <col min="10" max="10" width="9.44140625" customWidth="1"/>
    <col min="11" max="11" width="9.5546875" customWidth="1"/>
    <col min="13" max="14" width="8.44140625" customWidth="1"/>
    <col min="15" max="16" width="9.5546875" customWidth="1"/>
    <col min="17" max="17" width="10" customWidth="1"/>
    <col min="18" max="18" width="10.6640625" customWidth="1"/>
    <col min="19" max="20" width="9.44140625" customWidth="1"/>
    <col min="21" max="23" width="10" customWidth="1"/>
    <col min="24" max="24" width="10.109375" customWidth="1"/>
    <col min="25" max="26" width="10" customWidth="1"/>
    <col min="27" max="30" width="10.33203125" customWidth="1"/>
    <col min="32" max="32" width="15.6640625" customWidth="1"/>
    <col min="33" max="33" width="12.33203125" bestFit="1" customWidth="1"/>
    <col min="34" max="34" width="5.5546875" customWidth="1"/>
  </cols>
  <sheetData>
    <row r="1" spans="1:34" ht="14.4" thickTop="1" thickBot="1">
      <c r="A1" s="180" t="s">
        <v>139</v>
      </c>
      <c r="B1" s="182"/>
      <c r="C1" s="180" t="s">
        <v>129</v>
      </c>
      <c r="D1" s="181"/>
      <c r="E1" s="181"/>
      <c r="F1" s="181"/>
      <c r="G1" s="181"/>
      <c r="H1" s="181"/>
      <c r="I1" s="181"/>
      <c r="J1" s="182"/>
      <c r="K1" s="180" t="s">
        <v>157</v>
      </c>
      <c r="L1" s="181"/>
      <c r="M1" s="181"/>
      <c r="N1" s="181"/>
      <c r="O1" s="181"/>
      <c r="P1" s="181"/>
      <c r="Q1" s="180" t="s">
        <v>156</v>
      </c>
      <c r="R1" s="182"/>
      <c r="S1" s="180" t="s">
        <v>130</v>
      </c>
      <c r="T1" s="181"/>
      <c r="U1" s="181"/>
      <c r="V1" s="181"/>
      <c r="W1" s="181"/>
      <c r="X1" s="182"/>
      <c r="Y1" s="180" t="s">
        <v>155</v>
      </c>
      <c r="Z1" s="182"/>
      <c r="AA1" s="181" t="s">
        <v>133</v>
      </c>
      <c r="AB1" s="181"/>
      <c r="AC1" s="181"/>
      <c r="AD1" s="182"/>
    </row>
    <row r="2" spans="1:34" ht="27" thickTop="1">
      <c r="A2" s="1"/>
      <c r="B2" s="2" t="s">
        <v>134</v>
      </c>
      <c r="C2" s="13" t="s">
        <v>100</v>
      </c>
      <c r="D2" s="2" t="s">
        <v>101</v>
      </c>
      <c r="E2" s="2" t="s">
        <v>102</v>
      </c>
      <c r="F2" s="2" t="s">
        <v>103</v>
      </c>
      <c r="G2" s="2" t="s">
        <v>104</v>
      </c>
      <c r="H2" s="2" t="s">
        <v>105</v>
      </c>
      <c r="I2" s="2" t="s">
        <v>112</v>
      </c>
      <c r="J2" s="16" t="s">
        <v>113</v>
      </c>
      <c r="K2" s="13" t="s">
        <v>106</v>
      </c>
      <c r="L2" s="2" t="s">
        <v>107</v>
      </c>
      <c r="M2" s="2" t="s">
        <v>98</v>
      </c>
      <c r="N2" s="2" t="s">
        <v>99</v>
      </c>
      <c r="O2" s="2" t="s">
        <v>108</v>
      </c>
      <c r="P2" s="16" t="s">
        <v>109</v>
      </c>
      <c r="Q2" s="2" t="s">
        <v>153</v>
      </c>
      <c r="R2" s="2" t="s">
        <v>154</v>
      </c>
      <c r="S2" s="13" t="s">
        <v>131</v>
      </c>
      <c r="T2" s="2" t="s">
        <v>132</v>
      </c>
      <c r="U2" s="2" t="s">
        <v>123</v>
      </c>
      <c r="V2" s="16" t="s">
        <v>122</v>
      </c>
      <c r="W2" s="13" t="s">
        <v>173</v>
      </c>
      <c r="X2" s="16" t="s">
        <v>172</v>
      </c>
      <c r="Y2" s="13" t="s">
        <v>151</v>
      </c>
      <c r="Z2" s="16" t="s">
        <v>152</v>
      </c>
      <c r="AA2" s="2" t="s">
        <v>136</v>
      </c>
      <c r="AB2" s="2" t="s">
        <v>137</v>
      </c>
      <c r="AC2" s="2" t="s">
        <v>135</v>
      </c>
      <c r="AD2" s="3" t="s">
        <v>138</v>
      </c>
      <c r="AF2" s="11" t="s">
        <v>144</v>
      </c>
      <c r="AG2" s="24" t="s">
        <v>24</v>
      </c>
      <c r="AH2" s="24" t="s">
        <v>175</v>
      </c>
    </row>
    <row r="3" spans="1:34">
      <c r="A3" s="4">
        <v>1</v>
      </c>
      <c r="B3" s="20">
        <f>10*10^A3</f>
        <v>100</v>
      </c>
      <c r="C3" s="14">
        <f t="shared" ref="C3:C43" si="0">20*LOG(SQRT((B3/fzRHP)^2+1))</f>
        <v>1.6328901273830544E-5</v>
      </c>
      <c r="D3" s="5">
        <f t="shared" ref="D3:D43" si="1">-180/PI()*ATAN(B3/fzRHP)</f>
        <v>-0.11109866039175018</v>
      </c>
      <c r="E3" s="5">
        <f t="shared" ref="E3:E43" si="2">20*LOG(1/SQRT((B3/fp)^2+1))</f>
        <v>-1.8327703070570685E-2</v>
      </c>
      <c r="F3" s="5">
        <f t="shared" ref="F3:F43" si="3">-180/PI()*ATAN(B3/fp)</f>
        <v>-3.7207608362540023</v>
      </c>
      <c r="G3" s="5">
        <f t="shared" ref="G3:G43" si="4">20*LOG(SQRT((B3/fz_ESR)^2+1))</f>
        <v>7.1351709505728505E-8</v>
      </c>
      <c r="H3" s="5">
        <f t="shared" ref="H3:H43" si="5">180/PI()*ATAN(B3/fz_ESR)</f>
        <v>7.3439999597809816E-3</v>
      </c>
      <c r="I3" s="5">
        <f t="shared" ref="I3:I43" si="6">20*LOG(1/SQRT((B3/(1/2/PI()/ESR/(Cout_c*Cout_e/(Cout_c+Cout_e))))^2+1))</f>
        <v>-1.498564883025101E-11</v>
      </c>
      <c r="J3" s="17">
        <f t="shared" ref="J3:J43" si="7">-180/PI()*ATAN(B3/(1/2/PI()/(ESR)/(Cout_c*Cout_e/(Cout_c+Cout_e))))</f>
        <v>-1.0643478260857322E-4</v>
      </c>
      <c r="K3" s="14">
        <f t="shared" ref="K3:K43" si="8">20*LOG(1/SQRT((B3/(1/2/PI()/10000000/(Ccomp+Cp+0.000000000003)))^2+1))</f>
        <v>-29.598615177174089</v>
      </c>
      <c r="L3" s="5">
        <f t="shared" ref="L3:L43" si="9">-180/PI()*ATAN(B3/(1/2/PI()/10000000/(Ccomp+Cp+0.000000000003)))</f>
        <v>-88.102108867957142</v>
      </c>
      <c r="M3" s="5">
        <f t="shared" ref="M3:M43" si="10">20*LOG(SQRT((B3/fz_comp)^2+1))</f>
        <v>5.4504167005220957E-3</v>
      </c>
      <c r="N3" s="5">
        <f t="shared" ref="N3:N43" si="11">180/PI()*ATAN(B3/fz_comp)</f>
        <v>2.0295507193396429</v>
      </c>
      <c r="O3" s="5">
        <f t="shared" ref="O3:O43" si="12">20*LOG(1/SQRT((B3/fp_comp2)^2+1))</f>
        <v>-2.5081378773503081E-6</v>
      </c>
      <c r="P3" s="17">
        <f t="shared" ref="P3:P43" si="13">-180/PI()*ATAN(B3/fp_comp2)</f>
        <v>-4.3541778001425349E-2</v>
      </c>
      <c r="Q3" s="5">
        <f>20*LOG(1/SQRT((B3/(1/2/PI()/400000/0.0000000000055))^2+1))</f>
        <v>-8.2982973903629366E-6</v>
      </c>
      <c r="R3" s="5">
        <f>-180/PI()*ATAN(B3/(1/2/PI()/400000/0.0000000000055))</f>
        <v>-7.9199949556114951E-2</v>
      </c>
      <c r="S3" s="14">
        <f t="shared" ref="S3:S43" si="14">20*LOG(SQRT((2*PI()*R_ca*C_ca*B3)^2+1))</f>
        <v>6.7187635127814618E-5</v>
      </c>
      <c r="T3" s="5">
        <f t="shared" ref="T3:T43" si="15">180/PI()*ATAN(2*PI()*R_ca*C_ca*B3)</f>
        <v>0.22535883785598179</v>
      </c>
      <c r="U3" s="5">
        <f t="shared" ref="U3:U43" si="16">20*LOG(1/SQRT((2*PI()*B3*R_ca*C_ca)^2+(1-(2*PI()*B3)^2*C_ca/gm_ca/(IF(Op_mode="Boost", Vout_LP, Vin_LP)/V_m/L)*gm_PS)^2))</f>
        <v>-2.027458807458009E-5</v>
      </c>
      <c r="V3" s="17">
        <f t="shared" ref="V3:V43" si="17">IF(-180/PI()*ATAN((2*PI()*B3*R_ca*C_ca)/(1-(2*PI()*B3)^2*C_ca/gm_ca/(IF(Op_mode="Boost", Vout_LP, Vin_LP)/V_m/L)*gm_PS))&gt;0, -180/PI()*ATAN((2*PI()*B3*R_ca*C_ca)/(1-(2*PI()*B3)^2*C_ca/gm_ca/(IF(Op_mode="Boost", Vout_LP, Vin_LP)/V_m/L)*gm_PS))-180, -180/PI()*ATAN((2*PI()*B3*R_ca*C_ca)/(1-(2*PI()*B3)^2*C_ca/gm_ca/(IF(Op_mode="Boost", Vout_LP, Vin_LP)/V_m/L)*gm_PS)))</f>
        <v>-0.22536005504308365</v>
      </c>
      <c r="W3" s="14">
        <v>0</v>
      </c>
      <c r="X3" s="17">
        <f t="shared" ref="X3:X43" si="18">IF(B3&lt;fsw, -180*B3*1/2/fsw, -90)</f>
        <v>-2.2499999999999999E-2</v>
      </c>
      <c r="Y3" s="14">
        <f>20*LOG(1/SQRT((B3/(1/2/PI()/30000/0.000000000005))^2+1))</f>
        <v>-3.8576832623748043E-8</v>
      </c>
      <c r="Z3" s="17">
        <f>-180/PI()*ATAN(B3/(1/2/PI()/30000/0.000000000005))</f>
        <v>-5.3999999840112396E-3</v>
      </c>
      <c r="AA3" s="5">
        <f t="shared" ref="AA3:AA43" si="19">IF(Op_mode="Boost", C3+E3+G3+I3+K3+M3+20*LOG(Vout_LP/Ioutmax/2*gm_PS*eff*Vin_LP/Vout_LP*gm_EA*10000000*1.129/Vout)+Q3+S3+U3+Y3, E3+G3+I3+K3+M3+20*LOG(Vout_LP/Ioutmax*gm_PS*gm_EA*10000000*1.129/Vout)+Q3+S3+U3+Y3)</f>
        <v>41.40166988855303</v>
      </c>
      <c r="AB3" s="5">
        <f t="shared" ref="AB3:AB43" si="20">IF(Op_mode="Boost", D3+F3+H3+J3+180+L3+N3+R3+T3+V3+X3+Z3, F3+H3+J3+180+L3+N3+R3+T3+V3+Z3)</f>
        <v>89.995718753186694</v>
      </c>
      <c r="AC3" s="5">
        <f>AA3+O3</f>
        <v>41.401667380415155</v>
      </c>
      <c r="AD3" s="6">
        <f>AB3+P3</f>
        <v>89.952176975185267</v>
      </c>
      <c r="AF3" t="s">
        <v>142</v>
      </c>
      <c r="AG3">
        <v>3.0000000000000001E-5</v>
      </c>
      <c r="AH3" t="s">
        <v>124</v>
      </c>
    </row>
    <row r="4" spans="1:34" ht="13.8">
      <c r="A4" s="4">
        <v>1.1000000000000001</v>
      </c>
      <c r="B4" s="21">
        <f t="shared" ref="B4:B43" si="21">10*10^A4</f>
        <v>125.8925411794168</v>
      </c>
      <c r="C4" s="14">
        <f t="shared" si="0"/>
        <v>2.587953601438575E-5</v>
      </c>
      <c r="D4" s="5">
        <f t="shared" si="1"/>
        <v>-0.13986482425708666</v>
      </c>
      <c r="E4" s="5">
        <f t="shared" si="2"/>
        <v>-2.9011711795475181E-2</v>
      </c>
      <c r="F4" s="5">
        <f t="shared" si="3"/>
        <v>-4.6803180112740463</v>
      </c>
      <c r="G4" s="5">
        <f t="shared" si="4"/>
        <v>1.1308483747244107E-7</v>
      </c>
      <c r="H4" s="5">
        <f t="shared" si="5"/>
        <v>9.245548143968876E-3</v>
      </c>
      <c r="I4" s="5">
        <f t="shared" si="6"/>
        <v>-2.3753314156173046E-11</v>
      </c>
      <c r="J4" s="17">
        <f t="shared" si="7"/>
        <v>-1.3399345252463064E-4</v>
      </c>
      <c r="K4" s="14">
        <f t="shared" si="8"/>
        <v>-31.596856900271305</v>
      </c>
      <c r="L4" s="5">
        <f t="shared" si="9"/>
        <v>-88.492248001574382</v>
      </c>
      <c r="M4" s="5">
        <f t="shared" si="10"/>
        <v>8.635160744239586E-3</v>
      </c>
      <c r="N4" s="5">
        <f t="shared" si="11"/>
        <v>2.5544283640309651</v>
      </c>
      <c r="O4" s="5">
        <f t="shared" si="12"/>
        <v>-3.9751299749135758E-6</v>
      </c>
      <c r="P4" s="17">
        <f t="shared" si="13"/>
        <v>-5.481584462865955E-2</v>
      </c>
      <c r="Q4" s="5">
        <f t="shared" ref="Q4:Q43" si="22">20*LOG(1/SQRT((B4/(1/2/PI()/400000/0.0000000000055))^2+1))</f>
        <v>-1.3151907691514025E-5</v>
      </c>
      <c r="R4" s="5">
        <f t="shared" ref="R4:R43" si="23">-180/PI()*ATAN(B4/(1/2/PI()/400000/0.0000000000055))</f>
        <v>-9.9706791965382735E-2</v>
      </c>
      <c r="S4" s="14">
        <f t="shared" si="14"/>
        <v>1.0648474376647131E-4</v>
      </c>
      <c r="T4" s="5">
        <f t="shared" si="15"/>
        <v>0.2837091120323586</v>
      </c>
      <c r="U4" s="5">
        <f t="shared" si="16"/>
        <v>-3.2133130193263443E-5</v>
      </c>
      <c r="V4" s="17">
        <f t="shared" si="17"/>
        <v>-0.28371154062560983</v>
      </c>
      <c r="W4" s="14">
        <v>0</v>
      </c>
      <c r="X4" s="17">
        <f t="shared" si="18"/>
        <v>-2.8325821765368776E-2</v>
      </c>
      <c r="Y4" s="14">
        <f t="shared" ref="Y4:Y43" si="24">20*LOG(1/SQRT((B4/(1/2/PI()/30000/0.000000000005))^2+1))</f>
        <v>-6.1140159101059486E-8</v>
      </c>
      <c r="Z4" s="17">
        <f t="shared" ref="Z4:Z43" si="25">-180/PI()*ATAN(B4/(1/2/PI()/30000/0.000000000005))</f>
        <v>-6.7981971917867381E-3</v>
      </c>
      <c r="AA4" s="5">
        <f t="shared" si="19"/>
        <v>39.395961055526627</v>
      </c>
      <c r="AB4" s="5">
        <f t="shared" si="20"/>
        <v>89.116275842101118</v>
      </c>
      <c r="AC4" s="5">
        <f t="shared" ref="AC4:AC43" si="26">AA4+O4</f>
        <v>39.395957080396649</v>
      </c>
      <c r="AD4" s="6">
        <f t="shared" ref="AD4:AD43" si="27">AB4+P4</f>
        <v>89.061459997472454</v>
      </c>
      <c r="AF4" t="s">
        <v>140</v>
      </c>
      <c r="AG4">
        <v>100000</v>
      </c>
      <c r="AH4" s="12" t="s">
        <v>49</v>
      </c>
    </row>
    <row r="5" spans="1:34">
      <c r="A5" s="4">
        <v>1.2</v>
      </c>
      <c r="B5" s="21">
        <f t="shared" si="21"/>
        <v>158.48931924611136</v>
      </c>
      <c r="C5" s="14">
        <f t="shared" si="0"/>
        <v>4.1016228976286013E-5</v>
      </c>
      <c r="D5" s="5">
        <f t="shared" si="1"/>
        <v>-0.17607917690705124</v>
      </c>
      <c r="E5" s="5">
        <f t="shared" si="2"/>
        <v>-4.5891068921183338E-2</v>
      </c>
      <c r="F5" s="5">
        <f t="shared" si="3"/>
        <v>-5.8845339235211682</v>
      </c>
      <c r="G5" s="5">
        <f t="shared" si="4"/>
        <v>1.7922738804709884E-7</v>
      </c>
      <c r="H5" s="5">
        <f t="shared" si="5"/>
        <v>1.163945544531962E-2</v>
      </c>
      <c r="I5" s="5">
        <f t="shared" si="6"/>
        <v>-3.7643486984455682E-11</v>
      </c>
      <c r="J5" s="17">
        <f t="shared" si="7"/>
        <v>-1.6868776239711288E-4</v>
      </c>
      <c r="K5" s="14">
        <f t="shared" si="8"/>
        <v>-33.595747136162764</v>
      </c>
      <c r="L5" s="5">
        <f t="shared" si="9"/>
        <v>-88.80224799177789</v>
      </c>
      <c r="M5" s="5">
        <f t="shared" si="10"/>
        <v>1.3677860921431261E-2</v>
      </c>
      <c r="N5" s="5">
        <f t="shared" si="11"/>
        <v>3.2145899331445844</v>
      </c>
      <c r="O5" s="5">
        <f t="shared" si="12"/>
        <v>-6.300154748802435E-6</v>
      </c>
      <c r="P5" s="17">
        <f t="shared" si="13"/>
        <v>-6.9009047457157704E-2</v>
      </c>
      <c r="Q5" s="5">
        <f t="shared" si="22"/>
        <v>-2.0844350508270566E-5</v>
      </c>
      <c r="R5" s="5">
        <f t="shared" si="23"/>
        <v>-0.12552334002254481</v>
      </c>
      <c r="S5" s="14">
        <f t="shared" si="14"/>
        <v>1.6876573537434375E-4</v>
      </c>
      <c r="T5" s="5">
        <f t="shared" si="15"/>
        <v>0.35716690333929518</v>
      </c>
      <c r="U5" s="5">
        <f t="shared" si="16"/>
        <v>-5.0927764102957396E-5</v>
      </c>
      <c r="V5" s="17">
        <f t="shared" si="17"/>
        <v>-0.35717174897465764</v>
      </c>
      <c r="W5" s="14">
        <v>0</v>
      </c>
      <c r="X5" s="17">
        <f t="shared" si="18"/>
        <v>-3.5660096830375056E-2</v>
      </c>
      <c r="Y5" s="14">
        <f t="shared" si="24"/>
        <v>-9.6900620560394827E-8</v>
      </c>
      <c r="Z5" s="17">
        <f t="shared" si="25"/>
        <v>-8.5584231756376181E-3</v>
      </c>
      <c r="AA5" s="5">
        <f t="shared" si="19"/>
        <v>37.385285123662698</v>
      </c>
      <c r="AB5" s="5">
        <f t="shared" si="20"/>
        <v>88.193452902957461</v>
      </c>
      <c r="AC5" s="5">
        <f t="shared" si="26"/>
        <v>37.385278823507946</v>
      </c>
      <c r="AD5" s="6">
        <f t="shared" si="27"/>
        <v>88.124443855500303</v>
      </c>
      <c r="AF5" t="s">
        <v>141</v>
      </c>
      <c r="AG5">
        <v>6.2599999999999996E-11</v>
      </c>
      <c r="AH5" t="s">
        <v>9</v>
      </c>
    </row>
    <row r="6" spans="1:34">
      <c r="A6" s="4">
        <v>1.3</v>
      </c>
      <c r="B6" s="21">
        <f t="shared" si="21"/>
        <v>199.52623149688804</v>
      </c>
      <c r="C6" s="14">
        <f t="shared" si="0"/>
        <v>6.5006162538472408E-5</v>
      </c>
      <c r="D6" s="5">
        <f t="shared" si="1"/>
        <v>-0.22167014213482408</v>
      </c>
      <c r="E6" s="5">
        <f t="shared" si="2"/>
        <v>-7.2509387078433907E-2</v>
      </c>
      <c r="F6" s="5">
        <f t="shared" si="3"/>
        <v>-7.3930421366546559</v>
      </c>
      <c r="G6" s="5">
        <f t="shared" si="4"/>
        <v>2.8405626307501616E-7</v>
      </c>
      <c r="H6" s="5">
        <f t="shared" si="5"/>
        <v>1.4653206121660437E-2</v>
      </c>
      <c r="I6" s="5">
        <f t="shared" si="6"/>
        <v>-5.9662940355856791E-11</v>
      </c>
      <c r="J6" s="17">
        <f t="shared" si="7"/>
        <v>-2.1236531074006313E-4</v>
      </c>
      <c r="K6" s="14">
        <f t="shared" si="8"/>
        <v>-35.595046776408182</v>
      </c>
      <c r="L6" s="5">
        <f t="shared" si="9"/>
        <v>-89.048540615299331</v>
      </c>
      <c r="M6" s="5">
        <f t="shared" si="10"/>
        <v>2.1658027687041625E-2</v>
      </c>
      <c r="N6" s="5">
        <f t="shared" si="11"/>
        <v>4.0444496249717767</v>
      </c>
      <c r="O6" s="5">
        <f t="shared" si="12"/>
        <v>-9.9850681392284482E-6</v>
      </c>
      <c r="P6" s="17">
        <f t="shared" si="13"/>
        <v>-8.6877218916244531E-2</v>
      </c>
      <c r="Q6" s="5">
        <f t="shared" si="22"/>
        <v>-3.30360228520592E-5</v>
      </c>
      <c r="R6" s="5">
        <f t="shared" si="23"/>
        <v>-0.15802437465688313</v>
      </c>
      <c r="S6" s="14">
        <f t="shared" si="14"/>
        <v>2.6747262549834858E-4</v>
      </c>
      <c r="T6" s="5">
        <f t="shared" si="15"/>
        <v>0.44964308431875261</v>
      </c>
      <c r="U6" s="5">
        <f t="shared" si="16"/>
        <v>-8.0715530837535254E-5</v>
      </c>
      <c r="V6" s="17">
        <f t="shared" si="17"/>
        <v>-0.44965275248935627</v>
      </c>
      <c r="W6" s="14">
        <v>0</v>
      </c>
      <c r="X6" s="17">
        <f t="shared" si="18"/>
        <v>-4.4893402086799809E-2</v>
      </c>
      <c r="Y6" s="14">
        <f t="shared" si="24"/>
        <v>-1.535771340734222E-7</v>
      </c>
      <c r="Z6" s="17">
        <f t="shared" si="25"/>
        <v>-1.0774416373828727E-2</v>
      </c>
      <c r="AA6" s="5">
        <f t="shared" si="19"/>
        <v>35.367428097540582</v>
      </c>
      <c r="AB6" s="5">
        <f t="shared" si="20"/>
        <v>87.181935710405753</v>
      </c>
      <c r="AC6" s="5">
        <f t="shared" si="26"/>
        <v>35.367418112472443</v>
      </c>
      <c r="AD6" s="6">
        <f t="shared" si="27"/>
        <v>87.09505849148951</v>
      </c>
      <c r="AF6" t="s">
        <v>143</v>
      </c>
      <c r="AG6">
        <f>0.1*MIN(Vin, Vout)</f>
        <v>0.9</v>
      </c>
      <c r="AH6" t="s">
        <v>3</v>
      </c>
    </row>
    <row r="7" spans="1:34">
      <c r="A7" s="4">
        <v>1.4</v>
      </c>
      <c r="B7" s="21">
        <f t="shared" si="21"/>
        <v>251.188643150958</v>
      </c>
      <c r="C7" s="14">
        <f t="shared" si="0"/>
        <v>1.0302737348672407E-4</v>
      </c>
      <c r="D7" s="5">
        <f t="shared" si="1"/>
        <v>-0.27906536058774439</v>
      </c>
      <c r="E7" s="5">
        <f t="shared" si="2"/>
        <v>-0.11436521178978407</v>
      </c>
      <c r="F7" s="5">
        <f t="shared" si="3"/>
        <v>-9.2773509806042149</v>
      </c>
      <c r="G7" s="5">
        <f t="shared" si="4"/>
        <v>4.5019882734701291E-7</v>
      </c>
      <c r="H7" s="5">
        <f t="shared" si="5"/>
        <v>1.8447293315577887E-2</v>
      </c>
      <c r="I7" s="5">
        <f t="shared" si="6"/>
        <v>-9.456002271579695E-11</v>
      </c>
      <c r="J7" s="17">
        <f t="shared" si="7"/>
        <v>-2.6735208627351405E-4</v>
      </c>
      <c r="K7" s="14">
        <f t="shared" si="8"/>
        <v>-37.594604821157532</v>
      </c>
      <c r="L7" s="5">
        <f t="shared" si="9"/>
        <v>-89.244203308584247</v>
      </c>
      <c r="M7" s="5">
        <f t="shared" si="10"/>
        <v>3.4275779465722307E-2</v>
      </c>
      <c r="N7" s="5">
        <f t="shared" si="11"/>
        <v>5.0867275579078823</v>
      </c>
      <c r="O7" s="5">
        <f t="shared" si="12"/>
        <v>-1.5825255878257122E-5</v>
      </c>
      <c r="P7" s="17">
        <f t="shared" si="13"/>
        <v>-0.10937188957357863</v>
      </c>
      <c r="Q7" s="5">
        <f t="shared" si="22"/>
        <v>-5.2358451248504887E-5</v>
      </c>
      <c r="R7" s="5">
        <f t="shared" si="23"/>
        <v>-0.19894060589872517</v>
      </c>
      <c r="S7" s="14">
        <f t="shared" si="14"/>
        <v>4.2390790845322254E-4</v>
      </c>
      <c r="T7" s="5">
        <f t="shared" si="15"/>
        <v>0.56606030837128074</v>
      </c>
      <c r="U7" s="5">
        <f t="shared" si="16"/>
        <v>-1.2792666136034531E-4</v>
      </c>
      <c r="V7" s="17">
        <f t="shared" si="17"/>
        <v>-0.56607959845546685</v>
      </c>
      <c r="W7" s="14">
        <v>0</v>
      </c>
      <c r="X7" s="17">
        <f t="shared" si="18"/>
        <v>-5.6517444708965553E-2</v>
      </c>
      <c r="Y7" s="14">
        <f t="shared" si="24"/>
        <v>-2.4340335245430343E-7</v>
      </c>
      <c r="Z7" s="17">
        <f t="shared" si="25"/>
        <v>-1.3564186476746985E-2</v>
      </c>
      <c r="AA7" s="5">
        <f t="shared" si="19"/>
        <v>33.338759979075</v>
      </c>
      <c r="AB7" s="5">
        <f t="shared" si="20"/>
        <v>86.035246322192364</v>
      </c>
      <c r="AC7" s="5">
        <f t="shared" si="26"/>
        <v>33.338744153819121</v>
      </c>
      <c r="AD7" s="6">
        <f t="shared" si="27"/>
        <v>85.925874432618784</v>
      </c>
    </row>
    <row r="8" spans="1:34">
      <c r="A8" s="4">
        <v>1.5</v>
      </c>
      <c r="B8" s="21">
        <f t="shared" si="21"/>
        <v>316.22776601683802</v>
      </c>
      <c r="C8" s="14">
        <f t="shared" si="0"/>
        <v>1.6328625006083311E-4</v>
      </c>
      <c r="D8" s="5">
        <f t="shared" si="1"/>
        <v>-0.35132084911214023</v>
      </c>
      <c r="E8" s="5">
        <f t="shared" si="2"/>
        <v>-0.17988682678810203</v>
      </c>
      <c r="F8" s="5">
        <f t="shared" si="3"/>
        <v>-11.620640779534309</v>
      </c>
      <c r="G8" s="5">
        <f t="shared" si="4"/>
        <v>7.135170358942744E-7</v>
      </c>
      <c r="H8" s="5">
        <f t="shared" si="5"/>
        <v>2.3223765864439621E-2</v>
      </c>
      <c r="I8" s="5">
        <f t="shared" si="6"/>
        <v>-1.4986806023327239E-10</v>
      </c>
      <c r="J8" s="17">
        <f t="shared" si="7"/>
        <v>-3.3657633530448475E-4</v>
      </c>
      <c r="K8" s="14">
        <f t="shared" si="8"/>
        <v>-39.594325943103279</v>
      </c>
      <c r="L8" s="5">
        <f t="shared" si="9"/>
        <v>-89.399636497602003</v>
      </c>
      <c r="M8" s="5">
        <f t="shared" si="10"/>
        <v>5.4198778501238443E-2</v>
      </c>
      <c r="N8" s="5">
        <f t="shared" si="11"/>
        <v>6.39401242723868</v>
      </c>
      <c r="O8" s="5">
        <f t="shared" si="12"/>
        <v>-2.5081313583654092E-5</v>
      </c>
      <c r="P8" s="17">
        <f t="shared" si="13"/>
        <v>-0.13769095330042491</v>
      </c>
      <c r="Q8" s="5">
        <f t="shared" si="22"/>
        <v>-8.298226038036435E-5</v>
      </c>
      <c r="R8" s="5">
        <f t="shared" si="23"/>
        <v>-0.2504507955260869</v>
      </c>
      <c r="S8" s="14">
        <f t="shared" si="14"/>
        <v>6.7182958160482906E-4</v>
      </c>
      <c r="T8" s="5">
        <f t="shared" si="15"/>
        <v>0.7126141463447041</v>
      </c>
      <c r="U8" s="5">
        <f t="shared" si="16"/>
        <v>-2.0275302350878171E-4</v>
      </c>
      <c r="V8" s="17">
        <f t="shared" si="17"/>
        <v>-0.71265263369260345</v>
      </c>
      <c r="W8" s="14">
        <v>0</v>
      </c>
      <c r="X8" s="17">
        <f t="shared" si="18"/>
        <v>-7.1151247353788555E-2</v>
      </c>
      <c r="Y8" s="14">
        <f t="shared" si="24"/>
        <v>-3.8576830887491155E-7</v>
      </c>
      <c r="Z8" s="17">
        <f t="shared" si="25"/>
        <v>-1.7076298859300319E-2</v>
      </c>
      <c r="AA8" s="5">
        <f t="shared" si="19"/>
        <v>31.293643092442842</v>
      </c>
      <c r="AB8" s="5">
        <f t="shared" si="20"/>
        <v>84.706584661432302</v>
      </c>
      <c r="AC8" s="5">
        <f t="shared" si="26"/>
        <v>31.293618011129258</v>
      </c>
      <c r="AD8" s="6">
        <f t="shared" si="27"/>
        <v>84.568893708131881</v>
      </c>
    </row>
    <row r="9" spans="1:34">
      <c r="A9" s="4">
        <v>1.6</v>
      </c>
      <c r="B9" s="21">
        <f t="shared" si="21"/>
        <v>398.10717055349755</v>
      </c>
      <c r="C9" s="14">
        <f t="shared" si="0"/>
        <v>2.5878842070066623E-4</v>
      </c>
      <c r="D9" s="5">
        <f t="shared" si="1"/>
        <v>-0.44228350264178157</v>
      </c>
      <c r="E9" s="5">
        <f t="shared" si="2"/>
        <v>-0.28174821893848401</v>
      </c>
      <c r="F9" s="5">
        <f t="shared" si="3"/>
        <v>-14.514787028347088</v>
      </c>
      <c r="G9" s="5">
        <f t="shared" si="4"/>
        <v>1.1308482390396318E-6</v>
      </c>
      <c r="H9" s="5">
        <f t="shared" si="5"/>
        <v>2.9236988067800649E-2</v>
      </c>
      <c r="I9" s="5">
        <f t="shared" si="6"/>
        <v>-2.3752349828998777E-10</v>
      </c>
      <c r="J9" s="17">
        <f t="shared" si="7"/>
        <v>-4.2372450152051961E-4</v>
      </c>
      <c r="K9" s="14">
        <f t="shared" si="8"/>
        <v>-41.594149973732115</v>
      </c>
      <c r="L9" s="5">
        <f t="shared" si="9"/>
        <v>-89.523107877938159</v>
      </c>
      <c r="M9" s="5">
        <f t="shared" si="10"/>
        <v>8.5588575683103588E-2</v>
      </c>
      <c r="N9" s="5">
        <f t="shared" si="11"/>
        <v>8.0301730628723185</v>
      </c>
      <c r="O9" s="5">
        <f t="shared" si="12"/>
        <v>-3.9751136019785712E-5</v>
      </c>
      <c r="P9" s="17">
        <f t="shared" si="13"/>
        <v>-0.17334244490875547</v>
      </c>
      <c r="Q9" s="5">
        <f t="shared" si="22"/>
        <v>-1.3151728467446024E-4</v>
      </c>
      <c r="R9" s="5">
        <f t="shared" si="23"/>
        <v>-0.31529769633857607</v>
      </c>
      <c r="S9" s="14">
        <f t="shared" si="14"/>
        <v>1.0647299653402055E-3</v>
      </c>
      <c r="T9" s="5">
        <f t="shared" si="15"/>
        <v>0.89710100333404108</v>
      </c>
      <c r="U9" s="5">
        <f t="shared" si="16"/>
        <v>-3.2134924308561746E-4</v>
      </c>
      <c r="V9" s="17">
        <f t="shared" si="17"/>
        <v>-0.8971777911668759</v>
      </c>
      <c r="W9" s="14">
        <v>0</v>
      </c>
      <c r="X9" s="17">
        <f t="shared" si="18"/>
        <v>-8.9574113374536954E-2</v>
      </c>
      <c r="Y9" s="14">
        <f t="shared" si="24"/>
        <v>-6.1140154962446974E-7</v>
      </c>
      <c r="Z9" s="17">
        <f t="shared" si="25"/>
        <v>-2.149778620106645E-2</v>
      </c>
      <c r="AA9" s="5">
        <f t="shared" si="19"/>
        <v>29.223668929766294</v>
      </c>
      <c r="AB9" s="5">
        <f t="shared" si="20"/>
        <v>83.152361533764548</v>
      </c>
      <c r="AC9" s="5">
        <f t="shared" si="26"/>
        <v>29.223629178630276</v>
      </c>
      <c r="AD9" s="6">
        <f t="shared" si="27"/>
        <v>82.979019088855793</v>
      </c>
    </row>
    <row r="10" spans="1:34">
      <c r="A10" s="4">
        <v>1.7</v>
      </c>
      <c r="B10" s="21">
        <f t="shared" si="21"/>
        <v>501.18723362727235</v>
      </c>
      <c r="C10" s="14">
        <f t="shared" si="0"/>
        <v>4.1014485910114817E-4</v>
      </c>
      <c r="D10" s="5">
        <f t="shared" si="1"/>
        <v>-0.55679547227605553</v>
      </c>
      <c r="E10" s="5">
        <f t="shared" si="2"/>
        <v>-0.43844784256307551</v>
      </c>
      <c r="F10" s="5">
        <f t="shared" si="3"/>
        <v>-18.052182865000145</v>
      </c>
      <c r="G10" s="5">
        <f t="shared" si="4"/>
        <v>1.7922735404715499E-6</v>
      </c>
      <c r="H10" s="5">
        <f t="shared" si="5"/>
        <v>3.6807185374313489E-2</v>
      </c>
      <c r="I10" s="5">
        <f t="shared" si="6"/>
        <v>-3.7645029909136378E-10</v>
      </c>
      <c r="J10" s="17">
        <f t="shared" si="7"/>
        <v>-5.3343754255831012E-4</v>
      </c>
      <c r="K10" s="14">
        <f t="shared" si="8"/>
        <v>-43.594038940896233</v>
      </c>
      <c r="L10" s="5">
        <f t="shared" si="9"/>
        <v>-89.621187894249147</v>
      </c>
      <c r="M10" s="5">
        <f t="shared" si="10"/>
        <v>0.13487793423589367</v>
      </c>
      <c r="N10" s="5">
        <f t="shared" si="11"/>
        <v>10.071087509871298</v>
      </c>
      <c r="O10" s="5">
        <f t="shared" si="12"/>
        <v>-6.3001136228384993E-5</v>
      </c>
      <c r="P10" s="17">
        <f t="shared" si="13"/>
        <v>-0.21822481941425487</v>
      </c>
      <c r="Q10" s="5">
        <f t="shared" si="22"/>
        <v>-2.0843900322962698E-4</v>
      </c>
      <c r="R10" s="5">
        <f t="shared" si="23"/>
        <v>-0.39693393869951704</v>
      </c>
      <c r="S10" s="14">
        <f t="shared" si="14"/>
        <v>1.687362307627383E-3</v>
      </c>
      <c r="T10" s="5">
        <f t="shared" si="15"/>
        <v>1.1293292771845249</v>
      </c>
      <c r="U10" s="5">
        <f t="shared" si="16"/>
        <v>-5.0932270459179798E-4</v>
      </c>
      <c r="V10" s="17">
        <f t="shared" si="17"/>
        <v>-1.1294824747558836</v>
      </c>
      <c r="W10" s="14">
        <v>0</v>
      </c>
      <c r="X10" s="17">
        <f t="shared" si="18"/>
        <v>-0.11276712756613627</v>
      </c>
      <c r="Y10" s="14">
        <f t="shared" si="24"/>
        <v>-9.6900611538725013E-7</v>
      </c>
      <c r="Z10" s="17">
        <f t="shared" si="25"/>
        <v>-2.7064108603007456E-2</v>
      </c>
      <c r="AA10" s="5">
        <f t="shared" si="19"/>
        <v>27.116879094812813</v>
      </c>
      <c r="AB10" s="5">
        <f t="shared" si="20"/>
        <v>81.340276653737675</v>
      </c>
      <c r="AC10" s="5">
        <f t="shared" si="26"/>
        <v>27.116816093676583</v>
      </c>
      <c r="AD10" s="6">
        <f t="shared" si="27"/>
        <v>81.122051834323415</v>
      </c>
    </row>
    <row r="11" spans="1:34">
      <c r="A11" s="4">
        <v>1.8</v>
      </c>
      <c r="B11" s="21">
        <f t="shared" si="21"/>
        <v>630.95734448019368</v>
      </c>
      <c r="C11" s="14">
        <f t="shared" si="0"/>
        <v>6.500178433479129E-4</v>
      </c>
      <c r="D11" s="5">
        <f t="shared" si="1"/>
        <v>-0.70095106372912275</v>
      </c>
      <c r="E11" s="5">
        <f t="shared" si="2"/>
        <v>-0.67576898960024678</v>
      </c>
      <c r="F11" s="5">
        <f t="shared" si="3"/>
        <v>-22.309209183078046</v>
      </c>
      <c r="G11" s="5">
        <f t="shared" si="4"/>
        <v>2.8405617903454413E-6</v>
      </c>
      <c r="H11" s="5">
        <f t="shared" si="5"/>
        <v>4.6337497276068305E-2</v>
      </c>
      <c r="I11" s="5">
        <f t="shared" si="6"/>
        <v>-5.9663133223194305E-10</v>
      </c>
      <c r="J11" s="17">
        <f t="shared" si="7"/>
        <v>-6.7155807792034037E-4</v>
      </c>
      <c r="K11" s="14">
        <f t="shared" si="8"/>
        <v>-45.59396888245233</v>
      </c>
      <c r="L11" s="5">
        <f t="shared" si="9"/>
        <v>-89.699097230733756</v>
      </c>
      <c r="M11" s="5">
        <f t="shared" si="10"/>
        <v>0.21186820180340404</v>
      </c>
      <c r="N11" s="5">
        <f t="shared" si="11"/>
        <v>12.603651351831781</v>
      </c>
      <c r="O11" s="5">
        <f t="shared" si="12"/>
        <v>-9.9849648330256017E-5</v>
      </c>
      <c r="P11" s="17">
        <f t="shared" si="13"/>
        <v>-0.2747279936484025</v>
      </c>
      <c r="Q11" s="5">
        <f t="shared" si="22"/>
        <v>-3.3034892060042185E-4</v>
      </c>
      <c r="R11" s="5">
        <f t="shared" si="23"/>
        <v>-0.49970554646103144</v>
      </c>
      <c r="S11" s="14">
        <f t="shared" si="14"/>
        <v>2.6739852561500342E-3</v>
      </c>
      <c r="T11" s="5">
        <f t="shared" si="15"/>
        <v>1.4216336592600793</v>
      </c>
      <c r="U11" s="5">
        <f t="shared" si="16"/>
        <v>-8.0726849272890226E-4</v>
      </c>
      <c r="V11" s="17">
        <f t="shared" si="17"/>
        <v>-1.4219392833984204</v>
      </c>
      <c r="W11" s="14">
        <v>0</v>
      </c>
      <c r="X11" s="17">
        <f t="shared" si="18"/>
        <v>-0.14196540250804357</v>
      </c>
      <c r="Y11" s="14">
        <f t="shared" si="24"/>
        <v>-1.5357710945554844E-6</v>
      </c>
      <c r="Z11" s="17">
        <f t="shared" si="25"/>
        <v>-3.4071692585736599E-2</v>
      </c>
      <c r="AA11" s="5">
        <f t="shared" si="19"/>
        <v>24.957425395317408</v>
      </c>
      <c r="AB11" s="5">
        <f t="shared" si="20"/>
        <v>79.26401154779586</v>
      </c>
      <c r="AC11" s="5">
        <f t="shared" si="26"/>
        <v>24.957325545669079</v>
      </c>
      <c r="AD11" s="6">
        <f t="shared" si="27"/>
        <v>78.989283554147462</v>
      </c>
    </row>
    <row r="12" spans="1:34">
      <c r="A12" s="4">
        <v>1.9</v>
      </c>
      <c r="B12" s="21">
        <f t="shared" si="21"/>
        <v>794.32823472428197</v>
      </c>
      <c r="C12" s="14">
        <f t="shared" si="0"/>
        <v>1.0301637663979934E-3</v>
      </c>
      <c r="D12" s="5">
        <f t="shared" si="1"/>
        <v>-0.88241935891825041</v>
      </c>
      <c r="E12" s="5">
        <f t="shared" si="2"/>
        <v>-1.0271955687332459</v>
      </c>
      <c r="F12" s="5">
        <f t="shared" si="3"/>
        <v>-27.319037372320906</v>
      </c>
      <c r="G12" s="5">
        <f t="shared" si="4"/>
        <v>4.5019861838833866E-6</v>
      </c>
      <c r="H12" s="5">
        <f t="shared" si="5"/>
        <v>5.83354454009044E-2</v>
      </c>
      <c r="I12" s="5">
        <f t="shared" si="6"/>
        <v>-9.4559636989442764E-10</v>
      </c>
      <c r="J12" s="17">
        <f t="shared" si="7"/>
        <v>-8.4544152976691951E-4</v>
      </c>
      <c r="K12" s="14">
        <f t="shared" si="8"/>
        <v>-47.593924677981107</v>
      </c>
      <c r="L12" s="5">
        <f t="shared" si="9"/>
        <v>-89.760983623524837</v>
      </c>
      <c r="M12" s="5">
        <f t="shared" si="10"/>
        <v>0.33116086012317003</v>
      </c>
      <c r="N12" s="5">
        <f t="shared" si="11"/>
        <v>15.721242433084361</v>
      </c>
      <c r="O12" s="5">
        <f t="shared" si="12"/>
        <v>-1.5824996389162776E-4</v>
      </c>
      <c r="P12" s="17">
        <f t="shared" si="13"/>
        <v>-0.34586050224397274</v>
      </c>
      <c r="Q12" s="5">
        <f t="shared" si="22"/>
        <v>-5.2355610920028282E-4</v>
      </c>
      <c r="R12" s="5">
        <f t="shared" si="23"/>
        <v>-0.62908268187008598</v>
      </c>
      <c r="S12" s="14">
        <f t="shared" si="14"/>
        <v>4.2372182709462768E-3</v>
      </c>
      <c r="T12" s="5">
        <f t="shared" si="15"/>
        <v>1.7895159935178246</v>
      </c>
      <c r="U12" s="5">
        <f t="shared" si="16"/>
        <v>-1.2795508790653493E-3</v>
      </c>
      <c r="V12" s="17">
        <f t="shared" si="17"/>
        <v>-1.7901256509552501</v>
      </c>
      <c r="W12" s="14">
        <v>0</v>
      </c>
      <c r="X12" s="17">
        <f t="shared" si="18"/>
        <v>-0.17872385281296346</v>
      </c>
      <c r="Y12" s="14">
        <f t="shared" si="24"/>
        <v>-2.4340329028339434E-6</v>
      </c>
      <c r="Z12" s="17">
        <f t="shared" si="25"/>
        <v>-4.2893716661751957E-2</v>
      </c>
      <c r="AA12" s="5">
        <f t="shared" si="19"/>
        <v>22.726614331151925</v>
      </c>
      <c r="AB12" s="5">
        <f t="shared" si="20"/>
        <v>76.964982173409268</v>
      </c>
      <c r="AC12" s="5">
        <f t="shared" si="26"/>
        <v>22.726456081188033</v>
      </c>
      <c r="AD12" s="6">
        <f t="shared" si="27"/>
        <v>76.619121671165288</v>
      </c>
    </row>
    <row r="13" spans="1:34">
      <c r="A13" s="4">
        <v>2</v>
      </c>
      <c r="B13" s="20">
        <f t="shared" si="21"/>
        <v>1000</v>
      </c>
      <c r="C13" s="14">
        <f t="shared" si="0"/>
        <v>1.6325863003706109E-3</v>
      </c>
      <c r="D13" s="5">
        <f t="shared" si="1"/>
        <v>-1.110848788489909</v>
      </c>
      <c r="E13" s="5">
        <f t="shared" si="2"/>
        <v>-1.531751970439811</v>
      </c>
      <c r="F13" s="5">
        <f t="shared" si="3"/>
        <v>-33.036339124018141</v>
      </c>
      <c r="G13" s="5">
        <f t="shared" si="4"/>
        <v>7.1351650906732998E-6</v>
      </c>
      <c r="H13" s="5">
        <f t="shared" si="5"/>
        <v>7.3439959781019568E-2</v>
      </c>
      <c r="I13" s="5">
        <f t="shared" si="6"/>
        <v>-1.4986709591744199E-9</v>
      </c>
      <c r="J13" s="17">
        <f t="shared" si="7"/>
        <v>-1.0643478259645277E-3</v>
      </c>
      <c r="K13" s="14">
        <f t="shared" si="8"/>
        <v>-49.593896786613811</v>
      </c>
      <c r="L13" s="5">
        <f t="shared" si="9"/>
        <v>-89.810142137167347</v>
      </c>
      <c r="M13" s="5">
        <f t="shared" si="10"/>
        <v>0.51376084963021007</v>
      </c>
      <c r="N13" s="5">
        <f t="shared" si="11"/>
        <v>19.512883590185353</v>
      </c>
      <c r="O13" s="5">
        <f t="shared" si="12"/>
        <v>-2.5080661785317082E-4</v>
      </c>
      <c r="P13" s="17">
        <f t="shared" si="13"/>
        <v>-0.43540948203767726</v>
      </c>
      <c r="Q13" s="5">
        <f t="shared" si="22"/>
        <v>-8.2975126166051334E-4</v>
      </c>
      <c r="R13" s="5">
        <f t="shared" si="23"/>
        <v>-0.79194956183949483</v>
      </c>
      <c r="S13" s="14">
        <f t="shared" si="14"/>
        <v>6.71362361830117E-3</v>
      </c>
      <c r="T13" s="5">
        <f t="shared" si="15"/>
        <v>2.2524389227607688</v>
      </c>
      <c r="U13" s="5">
        <f t="shared" si="16"/>
        <v>-2.0282441153767613E-3</v>
      </c>
      <c r="V13" s="17">
        <f t="shared" si="17"/>
        <v>-2.2536548976915638</v>
      </c>
      <c r="W13" s="14">
        <v>0</v>
      </c>
      <c r="X13" s="17">
        <f t="shared" si="18"/>
        <v>-0.22500000000000001</v>
      </c>
      <c r="Y13" s="14">
        <f t="shared" si="24"/>
        <v>-3.8576815424639383E-6</v>
      </c>
      <c r="Z13" s="17">
        <f t="shared" si="25"/>
        <v>-5.3999984011249391E-2</v>
      </c>
      <c r="AA13" s="5">
        <f t="shared" si="19"/>
        <v>20.406710958789446</v>
      </c>
      <c r="AB13" s="5">
        <f t="shared" si="20"/>
        <v>74.555763631683476</v>
      </c>
      <c r="AC13" s="5">
        <f t="shared" si="26"/>
        <v>20.406460152171594</v>
      </c>
      <c r="AD13" s="6">
        <f t="shared" si="27"/>
        <v>74.120354149645806</v>
      </c>
    </row>
    <row r="14" spans="1:34">
      <c r="A14" s="4">
        <v>2.1</v>
      </c>
      <c r="B14" s="21">
        <f t="shared" si="21"/>
        <v>1258.9254117941678</v>
      </c>
      <c r="C14" s="14">
        <f t="shared" si="0"/>
        <v>2.5871905352363306E-3</v>
      </c>
      <c r="D14" s="5">
        <f t="shared" si="1"/>
        <v>-1.398373301270172</v>
      </c>
      <c r="E14" s="5">
        <f t="shared" si="2"/>
        <v>-2.2278293053982878</v>
      </c>
      <c r="F14" s="5">
        <f t="shared" si="3"/>
        <v>-39.3068910611767</v>
      </c>
      <c r="G14" s="5">
        <f t="shared" si="4"/>
        <v>1.1308469145946674E-5</v>
      </c>
      <c r="H14" s="5">
        <f t="shared" si="5"/>
        <v>9.2455401994793934E-2</v>
      </c>
      <c r="I14" s="5">
        <f t="shared" si="6"/>
        <v>-2.3752330545372325E-9</v>
      </c>
      <c r="J14" s="17">
        <f t="shared" si="7"/>
        <v>-1.339934525004471E-3</v>
      </c>
      <c r="K14" s="14">
        <f t="shared" si="8"/>
        <v>-51.593879188258612</v>
      </c>
      <c r="L14" s="5">
        <f t="shared" si="9"/>
        <v>-89.84919033526532</v>
      </c>
      <c r="M14" s="5">
        <f t="shared" si="10"/>
        <v>0.78829950063358523</v>
      </c>
      <c r="N14" s="5">
        <f t="shared" si="11"/>
        <v>24.04296323200607</v>
      </c>
      <c r="O14" s="5">
        <f t="shared" si="12"/>
        <v>-3.9749498817473017E-4</v>
      </c>
      <c r="P14" s="17">
        <f t="shared" si="13"/>
        <v>-0.54814188998553159</v>
      </c>
      <c r="Q14" s="5">
        <f t="shared" si="22"/>
        <v>-1.3149936580596211E-3</v>
      </c>
      <c r="R14" s="5">
        <f t="shared" si="23"/>
        <v>-0.99696829552674737</v>
      </c>
      <c r="S14" s="14">
        <f t="shared" si="14"/>
        <v>1.0635571396248425E-2</v>
      </c>
      <c r="T14" s="5">
        <f t="shared" si="15"/>
        <v>2.8347989096976138</v>
      </c>
      <c r="U14" s="5">
        <f t="shared" si="16"/>
        <v>-3.2152849712138846E-3</v>
      </c>
      <c r="V14" s="17">
        <f t="shared" si="17"/>
        <v>-2.8372236720032147</v>
      </c>
      <c r="W14" s="14">
        <v>0</v>
      </c>
      <c r="X14" s="17">
        <f t="shared" si="18"/>
        <v>-0.28325821765368775</v>
      </c>
      <c r="Y14" s="14">
        <f t="shared" si="24"/>
        <v>-6.1140116286050641E-6</v>
      </c>
      <c r="Z14" s="17">
        <f t="shared" si="25"/>
        <v>-6.7981940335143445E-2</v>
      </c>
      <c r="AA14" s="5">
        <f t="shared" si="19"/>
        <v>17.988396058047524</v>
      </c>
      <c r="AB14" s="5">
        <f t="shared" si="20"/>
        <v>72.228990785942486</v>
      </c>
      <c r="AC14" s="5">
        <f t="shared" si="26"/>
        <v>17.98799856305935</v>
      </c>
      <c r="AD14" s="6">
        <f t="shared" si="27"/>
        <v>71.680848895956956</v>
      </c>
    </row>
    <row r="15" spans="1:34">
      <c r="A15" s="4">
        <v>2.2000000000000002</v>
      </c>
      <c r="B15" s="21">
        <f t="shared" si="21"/>
        <v>1584.8931924611154</v>
      </c>
      <c r="C15" s="14">
        <f t="shared" si="0"/>
        <v>4.0997066113257277E-3</v>
      </c>
      <c r="D15" s="5">
        <f t="shared" si="1"/>
        <v>-1.7602433048365929</v>
      </c>
      <c r="E15" s="5">
        <f t="shared" si="2"/>
        <v>-3.1434836731843943</v>
      </c>
      <c r="F15" s="5">
        <f t="shared" si="3"/>
        <v>-45.865333128148649</v>
      </c>
      <c r="G15" s="5">
        <f t="shared" si="4"/>
        <v>1.7922702118430635E-5</v>
      </c>
      <c r="H15" s="5">
        <f t="shared" si="5"/>
        <v>0.11639439593993788</v>
      </c>
      <c r="I15" s="5">
        <f t="shared" si="6"/>
        <v>-3.7644894910632982E-9</v>
      </c>
      <c r="J15" s="17">
        <f t="shared" si="7"/>
        <v>-1.6868776234886061E-3</v>
      </c>
      <c r="K15" s="14">
        <f t="shared" si="8"/>
        <v>-53.593868084410452</v>
      </c>
      <c r="L15" s="5">
        <f t="shared" si="9"/>
        <v>-89.880207523138552</v>
      </c>
      <c r="M15" s="5">
        <f t="shared" si="10"/>
        <v>1.1907132689398052</v>
      </c>
      <c r="N15" s="5">
        <f t="shared" si="11"/>
        <v>29.320361854618554</v>
      </c>
      <c r="O15" s="5">
        <f t="shared" si="12"/>
        <v>-6.299702392713769E-4</v>
      </c>
      <c r="P15" s="17">
        <f t="shared" si="13"/>
        <v>-0.69005744147958425</v>
      </c>
      <c r="Q15" s="5">
        <f t="shared" si="22"/>
        <v>-2.0839399890951221E-3</v>
      </c>
      <c r="R15" s="5">
        <f t="shared" si="23"/>
        <v>-1.2550346452872989</v>
      </c>
      <c r="S15" s="14">
        <f t="shared" si="14"/>
        <v>1.6844193916419007E-2</v>
      </c>
      <c r="T15" s="5">
        <f t="shared" si="15"/>
        <v>3.5670994346331484</v>
      </c>
      <c r="U15" s="5">
        <f t="shared" si="16"/>
        <v>-5.097727132736758E-3</v>
      </c>
      <c r="V15" s="17">
        <f t="shared" si="17"/>
        <v>-3.5719329668673545</v>
      </c>
      <c r="W15" s="14">
        <v>0</v>
      </c>
      <c r="X15" s="17">
        <f t="shared" si="18"/>
        <v>-0.35660096830375099</v>
      </c>
      <c r="Y15" s="14">
        <f t="shared" si="24"/>
        <v>-9.6900514205164675E-6</v>
      </c>
      <c r="Z15" s="17">
        <f t="shared" si="25"/>
        <v>-8.5584168740588856E-2</v>
      </c>
      <c r="AA15" s="5">
        <f t="shared" si="19"/>
        <v>15.480239349323421</v>
      </c>
      <c r="AB15" s="5">
        <f t="shared" si="20"/>
        <v>70.227232102245353</v>
      </c>
      <c r="AC15" s="5">
        <f t="shared" si="26"/>
        <v>15.479609379084149</v>
      </c>
      <c r="AD15" s="6">
        <f t="shared" si="27"/>
        <v>69.537174660765771</v>
      </c>
    </row>
    <row r="16" spans="1:34">
      <c r="A16" s="7">
        <v>2.2999999999999998</v>
      </c>
      <c r="B16" s="22">
        <f t="shared" si="21"/>
        <v>1995.2623149688802</v>
      </c>
      <c r="C16" s="14">
        <f t="shared" si="0"/>
        <v>6.4958045488353816E-3</v>
      </c>
      <c r="D16" s="8">
        <f t="shared" si="1"/>
        <v>-2.215607457231255</v>
      </c>
      <c r="E16" s="5">
        <f t="shared" si="2"/>
        <v>-4.2871873631560717</v>
      </c>
      <c r="F16" s="8">
        <f t="shared" si="3"/>
        <v>-52.378914493330463</v>
      </c>
      <c r="G16" s="5">
        <f t="shared" si="4"/>
        <v>2.840553429715534E-5</v>
      </c>
      <c r="H16" s="5">
        <f t="shared" si="5"/>
        <v>0.14653174494153604</v>
      </c>
      <c r="I16" s="5">
        <f t="shared" si="6"/>
        <v>-5.9663152528185748E-9</v>
      </c>
      <c r="J16" s="17">
        <f t="shared" si="7"/>
        <v>-2.1236531064378677E-3</v>
      </c>
      <c r="K16" s="14">
        <f t="shared" si="8"/>
        <v>-55.593861078341291</v>
      </c>
      <c r="L16" s="5">
        <f t="shared" si="9"/>
        <v>-89.904845402153356</v>
      </c>
      <c r="M16" s="5">
        <f t="shared" si="10"/>
        <v>1.7607390653135779</v>
      </c>
      <c r="N16" s="8">
        <f t="shared" si="11"/>
        <v>35.262770861119797</v>
      </c>
      <c r="O16" s="5">
        <f t="shared" si="12"/>
        <v>-9.9839319334916977E-4</v>
      </c>
      <c r="P16" s="17">
        <f t="shared" si="13"/>
        <v>-0.86870628286718743</v>
      </c>
      <c r="Q16" s="5">
        <f t="shared" si="22"/>
        <v>-3.302358981219515E-3</v>
      </c>
      <c r="R16" s="5">
        <f t="shared" si="23"/>
        <v>-1.5798472457547021</v>
      </c>
      <c r="S16" s="14">
        <f t="shared" si="14"/>
        <v>2.6666052486810102E-2</v>
      </c>
      <c r="T16" s="5">
        <f t="shared" si="15"/>
        <v>4.4873257931958337</v>
      </c>
      <c r="U16" s="5">
        <f t="shared" si="16"/>
        <v>-8.0839784013331806E-3</v>
      </c>
      <c r="V16" s="17">
        <f t="shared" si="17"/>
        <v>-4.4969557472539812</v>
      </c>
      <c r="W16" s="14">
        <v>0</v>
      </c>
      <c r="X16" s="17">
        <f t="shared" si="18"/>
        <v>-0.44893402086799805</v>
      </c>
      <c r="Y16" s="14">
        <f t="shared" si="24"/>
        <v>-1.5357686507960409E-5</v>
      </c>
      <c r="Z16" s="17">
        <f t="shared" si="25"/>
        <v>-0.10774403800536084</v>
      </c>
      <c r="AA16" s="5">
        <f t="shared" si="19"/>
        <v>12.914586561037128</v>
      </c>
      <c r="AB16" s="5">
        <f t="shared" si="20"/>
        <v>68.761656341553618</v>
      </c>
      <c r="AC16" s="5">
        <f t="shared" si="26"/>
        <v>12.913588167843779</v>
      </c>
      <c r="AD16" s="6">
        <f t="shared" si="27"/>
        <v>67.892950058686424</v>
      </c>
    </row>
    <row r="17" spans="1:30">
      <c r="A17" s="4">
        <v>2.4</v>
      </c>
      <c r="B17" s="21">
        <f t="shared" si="21"/>
        <v>2511.8864315095807</v>
      </c>
      <c r="C17" s="14">
        <f t="shared" si="0"/>
        <v>1.0290658003339295E-2</v>
      </c>
      <c r="D17" s="5">
        <f t="shared" si="1"/>
        <v>-2.7884720164006151</v>
      </c>
      <c r="E17" s="5">
        <f t="shared" si="2"/>
        <v>-5.644690502256541</v>
      </c>
      <c r="F17" s="5">
        <f t="shared" si="3"/>
        <v>-58.525827430400611</v>
      </c>
      <c r="G17" s="5">
        <f t="shared" si="4"/>
        <v>4.5019651822226169E-5</v>
      </c>
      <c r="H17" s="5">
        <f t="shared" si="5"/>
        <v>0.18447230210551682</v>
      </c>
      <c r="I17" s="5">
        <f t="shared" si="6"/>
        <v>-9.4559714181964577E-9</v>
      </c>
      <c r="J17" s="17">
        <f t="shared" si="7"/>
        <v>-2.6735208608141769E-3</v>
      </c>
      <c r="K17" s="14">
        <f t="shared" si="8"/>
        <v>-57.593856657804693</v>
      </c>
      <c r="L17" s="5">
        <f t="shared" si="9"/>
        <v>-89.924415990621782</v>
      </c>
      <c r="M17" s="5">
        <f t="shared" si="10"/>
        <v>2.5342321027991672</v>
      </c>
      <c r="N17" s="5">
        <f t="shared" si="11"/>
        <v>41.673601212426554</v>
      </c>
      <c r="O17" s="5">
        <f t="shared" si="12"/>
        <v>-1.5822402118773598E-3</v>
      </c>
      <c r="P17" s="17">
        <f t="shared" si="13"/>
        <v>-1.0935874061017454</v>
      </c>
      <c r="Q17" s="5">
        <f t="shared" si="22"/>
        <v>-5.2327230211146047E-3</v>
      </c>
      <c r="R17" s="5">
        <f t="shared" si="23"/>
        <v>-1.9886151489575756</v>
      </c>
      <c r="S17" s="14">
        <f t="shared" si="14"/>
        <v>4.2187291359481863E-2</v>
      </c>
      <c r="T17" s="5">
        <f t="shared" si="15"/>
        <v>5.6424754788682518</v>
      </c>
      <c r="U17" s="5">
        <f t="shared" si="16"/>
        <v>-1.282383599098608E-2</v>
      </c>
      <c r="V17" s="17">
        <f t="shared" si="17"/>
        <v>-5.6616449956935746</v>
      </c>
      <c r="W17" s="14">
        <v>0</v>
      </c>
      <c r="X17" s="17">
        <f t="shared" si="18"/>
        <v>-0.5651744470896557</v>
      </c>
      <c r="Y17" s="14">
        <f t="shared" si="24"/>
        <v>-2.4340267629658012E-5</v>
      </c>
      <c r="Z17" s="17">
        <f t="shared" si="25"/>
        <v>-0.13564161389761448</v>
      </c>
      <c r="AA17" s="5">
        <f t="shared" si="19"/>
        <v>10.343234378703224</v>
      </c>
      <c r="AB17" s="5">
        <f t="shared" si="20"/>
        <v>67.908083829478045</v>
      </c>
      <c r="AC17" s="5">
        <f t="shared" si="26"/>
        <v>10.341652138491346</v>
      </c>
      <c r="AD17" s="6">
        <f t="shared" si="27"/>
        <v>66.814496423376298</v>
      </c>
    </row>
    <row r="18" spans="1:30">
      <c r="A18" s="4">
        <v>2.5</v>
      </c>
      <c r="B18" s="21">
        <f t="shared" si="21"/>
        <v>3162.2776601683827</v>
      </c>
      <c r="C18" s="14">
        <f t="shared" si="0"/>
        <v>1.6298311325353643E-2</v>
      </c>
      <c r="D18" s="5">
        <f t="shared" si="1"/>
        <v>-3.5088592972369002</v>
      </c>
      <c r="E18" s="5">
        <f t="shared" si="2"/>
        <v>-7.1842086685210793</v>
      </c>
      <c r="F18" s="5">
        <f t="shared" si="3"/>
        <v>-64.067615753888276</v>
      </c>
      <c r="G18" s="5">
        <f t="shared" si="4"/>
        <v>7.1351123396762509E-5</v>
      </c>
      <c r="H18" s="5">
        <f t="shared" si="5"/>
        <v>0.23223639953821582</v>
      </c>
      <c r="I18" s="5">
        <f t="shared" si="6"/>
        <v>-1.4986705746070517E-8</v>
      </c>
      <c r="J18" s="17">
        <f t="shared" si="7"/>
        <v>-3.3657633492120216E-3</v>
      </c>
      <c r="K18" s="14">
        <f t="shared" si="8"/>
        <v>-59.593853868632337</v>
      </c>
      <c r="L18" s="5">
        <f t="shared" si="9"/>
        <v>-89.939961474404356</v>
      </c>
      <c r="M18" s="5">
        <f t="shared" si="10"/>
        <v>3.5329918162714846</v>
      </c>
      <c r="N18" s="5">
        <f t="shared" si="11"/>
        <v>48.255492330784577</v>
      </c>
      <c r="O18" s="5">
        <f t="shared" si="12"/>
        <v>-2.5074146290872601E-3</v>
      </c>
      <c r="P18" s="17">
        <f t="shared" si="13"/>
        <v>-1.3766472105623635</v>
      </c>
      <c r="Q18" s="5">
        <f t="shared" si="22"/>
        <v>-8.2903873858568566E-3</v>
      </c>
      <c r="R18" s="5">
        <f t="shared" si="23"/>
        <v>-2.5029305556209982</v>
      </c>
      <c r="S18" s="14">
        <f t="shared" si="14"/>
        <v>6.6673731674115236E-2</v>
      </c>
      <c r="T18" s="5">
        <f t="shared" si="15"/>
        <v>7.0900957812013239</v>
      </c>
      <c r="U18" s="5">
        <f t="shared" si="16"/>
        <v>-2.0353433830209499E-2</v>
      </c>
      <c r="V18" s="17">
        <f t="shared" si="17"/>
        <v>-7.1282032750742053</v>
      </c>
      <c r="W18" s="14">
        <v>0</v>
      </c>
      <c r="X18" s="17">
        <f t="shared" si="18"/>
        <v>-0.71151247353788616</v>
      </c>
      <c r="Y18" s="14">
        <f t="shared" si="24"/>
        <v>-3.8576661238921431E-5</v>
      </c>
      <c r="Z18" s="17">
        <f t="shared" si="25"/>
        <v>-0.1707624880428292</v>
      </c>
      <c r="AA18" s="5">
        <f t="shared" si="19"/>
        <v>7.8223976360632639</v>
      </c>
      <c r="AB18" s="5">
        <f t="shared" si="20"/>
        <v>67.544613430369481</v>
      </c>
      <c r="AC18" s="5">
        <f t="shared" si="26"/>
        <v>7.8198902214341768</v>
      </c>
      <c r="AD18" s="6">
        <f t="shared" si="27"/>
        <v>66.167966219807113</v>
      </c>
    </row>
    <row r="19" spans="1:30">
      <c r="A19" s="4">
        <v>2.6</v>
      </c>
      <c r="B19" s="21">
        <f t="shared" si="21"/>
        <v>3981.071705534976</v>
      </c>
      <c r="C19" s="14">
        <f t="shared" si="0"/>
        <v>2.5802809763798132E-2</v>
      </c>
      <c r="D19" s="5">
        <f t="shared" si="1"/>
        <v>-4.4141687547087303</v>
      </c>
      <c r="E19" s="5">
        <f t="shared" si="2"/>
        <v>-8.866348514853561</v>
      </c>
      <c r="F19" s="5">
        <f t="shared" si="3"/>
        <v>-68.88044567084782</v>
      </c>
      <c r="G19" s="5">
        <f t="shared" si="4"/>
        <v>1.1308336642120825E-4</v>
      </c>
      <c r="H19" s="5">
        <f t="shared" si="5"/>
        <v>0.29236736844552313</v>
      </c>
      <c r="I19" s="5">
        <f t="shared" si="6"/>
        <v>-2.3752328645946166E-8</v>
      </c>
      <c r="J19" s="17">
        <f t="shared" si="7"/>
        <v>-4.237245007557699E-3</v>
      </c>
      <c r="K19" s="14">
        <f t="shared" si="8"/>
        <v>-61.593852108782635</v>
      </c>
      <c r="L19" s="5">
        <f t="shared" si="9"/>
        <v>-89.952309697506465</v>
      </c>
      <c r="M19" s="5">
        <f t="shared" si="10"/>
        <v>4.7571436260132218</v>
      </c>
      <c r="N19" s="5">
        <f t="shared" si="11"/>
        <v>54.669907786050153</v>
      </c>
      <c r="O19" s="5">
        <f t="shared" si="12"/>
        <v>-3.9733136686666854E-3</v>
      </c>
      <c r="P19" s="17">
        <f t="shared" si="13"/>
        <v>-1.7329011540682406</v>
      </c>
      <c r="Q19" s="5">
        <f t="shared" si="22"/>
        <v>-1.3132053444384607E-2</v>
      </c>
      <c r="R19" s="5">
        <f t="shared" si="23"/>
        <v>-3.1498317638413829</v>
      </c>
      <c r="S19" s="14">
        <f t="shared" si="14"/>
        <v>0.10520152134001419</v>
      </c>
      <c r="T19" s="5">
        <f t="shared" si="15"/>
        <v>8.8994764017017314</v>
      </c>
      <c r="U19" s="5">
        <f t="shared" si="16"/>
        <v>-3.2330530769558705E-2</v>
      </c>
      <c r="V19" s="17">
        <f t="shared" si="17"/>
        <v>-8.975070038227777</v>
      </c>
      <c r="W19" s="14">
        <v>0</v>
      </c>
      <c r="X19" s="17">
        <f t="shared" si="18"/>
        <v>-0.89574113374536957</v>
      </c>
      <c r="Y19" s="14">
        <f t="shared" si="24"/>
        <v>-6.1139728964450081E-5</v>
      </c>
      <c r="Z19" s="17">
        <f t="shared" si="25"/>
        <v>-0.21497686328490972</v>
      </c>
      <c r="AA19" s="5">
        <f t="shared" si="19"/>
        <v>5.3956440448383693</v>
      </c>
      <c r="AB19" s="5">
        <f t="shared" si="20"/>
        <v>67.374970389027411</v>
      </c>
      <c r="AC19" s="5">
        <f t="shared" si="26"/>
        <v>5.391670731169703</v>
      </c>
      <c r="AD19" s="6">
        <f t="shared" si="27"/>
        <v>65.642069234959166</v>
      </c>
    </row>
    <row r="20" spans="1:30">
      <c r="A20" s="4">
        <v>2.7</v>
      </c>
      <c r="B20" s="21">
        <f t="shared" si="21"/>
        <v>5011.8723362727269</v>
      </c>
      <c r="C20" s="14">
        <f t="shared" si="0"/>
        <v>4.0823946245073267E-2</v>
      </c>
      <c r="D20" s="5">
        <f t="shared" si="1"/>
        <v>-5.5506994915777117</v>
      </c>
      <c r="E20" s="5">
        <f t="shared" si="2"/>
        <v>-10.65312072962193</v>
      </c>
      <c r="F20" s="5">
        <f t="shared" si="3"/>
        <v>-72.943082893191203</v>
      </c>
      <c r="G20" s="5">
        <f t="shared" si="4"/>
        <v>1.7922369287670382E-4</v>
      </c>
      <c r="H20" s="5">
        <f t="shared" si="5"/>
        <v>0.36806684122659572</v>
      </c>
      <c r="I20" s="5">
        <f t="shared" si="6"/>
        <v>-3.7644904627327013E-8</v>
      </c>
      <c r="J20" s="17">
        <f t="shared" si="7"/>
        <v>-5.3343754103243384E-3</v>
      </c>
      <c r="K20" s="14">
        <f t="shared" si="8"/>
        <v>-63.59385099839217</v>
      </c>
      <c r="L20" s="5">
        <f t="shared" si="9"/>
        <v>-89.962118242978349</v>
      </c>
      <c r="M20" s="5">
        <f t="shared" si="10"/>
        <v>6.1850920602014172</v>
      </c>
      <c r="N20" s="5">
        <f t="shared" si="11"/>
        <v>60.618648419028212</v>
      </c>
      <c r="O20" s="5">
        <f t="shared" si="12"/>
        <v>-6.2955940230332219E-3</v>
      </c>
      <c r="P20" s="17">
        <f t="shared" si="13"/>
        <v>-2.1812044216640354</v>
      </c>
      <c r="Q20" s="5">
        <f t="shared" si="22"/>
        <v>-2.0794537616627883E-2</v>
      </c>
      <c r="R20" s="5">
        <f t="shared" si="23"/>
        <v>-3.9630705996733835</v>
      </c>
      <c r="S20" s="14">
        <f t="shared" si="14"/>
        <v>0.1655723436146086</v>
      </c>
      <c r="T20" s="5">
        <f t="shared" si="15"/>
        <v>11.151768288446663</v>
      </c>
      <c r="U20" s="5">
        <f t="shared" si="16"/>
        <v>-5.1421024020294567E-2</v>
      </c>
      <c r="V20" s="17">
        <f t="shared" si="17"/>
        <v>-11.301224007674078</v>
      </c>
      <c r="W20" s="14">
        <v>0</v>
      </c>
      <c r="X20" s="17">
        <f t="shared" si="18"/>
        <v>-1.1276712756613636</v>
      </c>
      <c r="Y20" s="14">
        <f t="shared" si="24"/>
        <v>-9.6899541286150974E-5</v>
      </c>
      <c r="Z20" s="17">
        <f t="shared" si="25"/>
        <v>-0.27063909332015651</v>
      </c>
      <c r="AA20" s="5">
        <f t="shared" si="19"/>
        <v>3.0854907226030983</v>
      </c>
      <c r="AB20" s="5">
        <f t="shared" si="20"/>
        <v>67.014643569214869</v>
      </c>
      <c r="AC20" s="5">
        <f t="shared" si="26"/>
        <v>3.0791951285800652</v>
      </c>
      <c r="AD20" s="6">
        <f t="shared" si="27"/>
        <v>64.833439147550834</v>
      </c>
    </row>
    <row r="21" spans="1:30">
      <c r="A21" s="4">
        <v>2.8</v>
      </c>
      <c r="B21" s="21">
        <f t="shared" si="21"/>
        <v>6309.5734448019321</v>
      </c>
      <c r="C21" s="14">
        <f t="shared" si="0"/>
        <v>6.4524929511816667E-2</v>
      </c>
      <c r="D21" s="5">
        <f t="shared" si="1"/>
        <v>-6.9751958418714759</v>
      </c>
      <c r="E21" s="5">
        <f t="shared" si="2"/>
        <v>-12.512988977263158</v>
      </c>
      <c r="F21" s="5">
        <f t="shared" si="3"/>
        <v>-76.30325109817916</v>
      </c>
      <c r="G21" s="5">
        <f t="shared" si="4"/>
        <v>2.8404698277356835E-4</v>
      </c>
      <c r="H21" s="5">
        <f t="shared" si="5"/>
        <v>0.46336497162161433</v>
      </c>
      <c r="I21" s="5">
        <f t="shared" si="6"/>
        <v>-5.9663152712606852E-8</v>
      </c>
      <c r="J21" s="17">
        <f t="shared" si="7"/>
        <v>-6.7155807487581584E-3</v>
      </c>
      <c r="K21" s="14">
        <f t="shared" si="8"/>
        <v>-65.593850297783007</v>
      </c>
      <c r="L21" s="5">
        <f t="shared" si="9"/>
        <v>-89.969909449198653</v>
      </c>
      <c r="M21" s="5">
        <f t="shared" si="10"/>
        <v>7.7810786777276864</v>
      </c>
      <c r="N21" s="5">
        <f t="shared" si="11"/>
        <v>65.903877618662762</v>
      </c>
      <c r="O21" s="5">
        <f t="shared" si="12"/>
        <v>-9.9736185852224348E-3</v>
      </c>
      <c r="P21" s="17">
        <f t="shared" si="13"/>
        <v>-2.7451984055031202</v>
      </c>
      <c r="Q21" s="5">
        <f t="shared" si="22"/>
        <v>-3.2911131508391096E-2</v>
      </c>
      <c r="R21" s="5">
        <f t="shared" si="23"/>
        <v>-4.9845687419598743</v>
      </c>
      <c r="S21" s="14">
        <f t="shared" si="14"/>
        <v>0.25956714409122583</v>
      </c>
      <c r="T21" s="5">
        <f t="shared" si="15"/>
        <v>13.937669267292851</v>
      </c>
      <c r="U21" s="5">
        <f t="shared" si="16"/>
        <v>-8.1944266006024197E-2</v>
      </c>
      <c r="V21" s="17">
        <f t="shared" si="17"/>
        <v>-14.231629139244067</v>
      </c>
      <c r="W21" s="14">
        <v>0</v>
      </c>
      <c r="X21" s="17">
        <f t="shared" si="18"/>
        <v>-1.4196540250804348</v>
      </c>
      <c r="Y21" s="14">
        <f t="shared" si="24"/>
        <v>-1.5357442126543266E-4</v>
      </c>
      <c r="Z21" s="17">
        <f t="shared" si="25"/>
        <v>-0.34071294990980416</v>
      </c>
      <c r="AA21" s="5">
        <f t="shared" si="19"/>
        <v>0.89671386735485137</v>
      </c>
      <c r="AB21" s="5">
        <f t="shared" si="20"/>
        <v>66.073275031384995</v>
      </c>
      <c r="AC21" s="5">
        <f t="shared" si="26"/>
        <v>0.88674024876962898</v>
      </c>
      <c r="AD21" s="6">
        <f t="shared" si="27"/>
        <v>63.328076625881877</v>
      </c>
    </row>
    <row r="22" spans="1:30">
      <c r="A22" s="4">
        <v>2.9</v>
      </c>
      <c r="B22" s="21">
        <f t="shared" si="21"/>
        <v>7943.2823472428208</v>
      </c>
      <c r="C22" s="14">
        <f t="shared" si="0"/>
        <v>0.1018255013634445</v>
      </c>
      <c r="D22" s="5">
        <f t="shared" si="1"/>
        <v>-8.7560832060331446</v>
      </c>
      <c r="E22" s="5">
        <f t="shared" si="2"/>
        <v>-14.422187240190398</v>
      </c>
      <c r="F22" s="5">
        <f t="shared" si="3"/>
        <v>-79.043716470456744</v>
      </c>
      <c r="G22" s="5">
        <f t="shared" si="4"/>
        <v>4.5017551896376669E-4</v>
      </c>
      <c r="H22" s="5">
        <f t="shared" si="5"/>
        <v>0.58333449957573069</v>
      </c>
      <c r="I22" s="5">
        <f t="shared" si="6"/>
        <v>-9.4559723324156619E-8</v>
      </c>
      <c r="J22" s="17">
        <f t="shared" si="7"/>
        <v>-8.4544152369229568E-3</v>
      </c>
      <c r="K22" s="14">
        <f t="shared" si="8"/>
        <v>-67.59384985572845</v>
      </c>
      <c r="L22" s="5">
        <f t="shared" si="9"/>
        <v>-89.976098225089132</v>
      </c>
      <c r="M22" s="5">
        <f t="shared" si="10"/>
        <v>9.5053601151501734</v>
      </c>
      <c r="N22" s="5">
        <f t="shared" si="11"/>
        <v>70.442129012785898</v>
      </c>
      <c r="O22" s="5">
        <f t="shared" si="12"/>
        <v>-1.5796521634872482E-2</v>
      </c>
      <c r="P22" s="17">
        <f t="shared" si="13"/>
        <v>-3.4544551970293664</v>
      </c>
      <c r="Q22" s="5">
        <f t="shared" si="22"/>
        <v>-5.2045660904162988E-2</v>
      </c>
      <c r="R22" s="5">
        <f t="shared" si="23"/>
        <v>-6.2659790782400488</v>
      </c>
      <c r="S22" s="14">
        <f t="shared" si="14"/>
        <v>0.40449308178000021</v>
      </c>
      <c r="T22" s="5">
        <f t="shared" si="15"/>
        <v>17.350425989038623</v>
      </c>
      <c r="U22" s="5">
        <f t="shared" si="16"/>
        <v>-0.13097235517598557</v>
      </c>
      <c r="V22" s="17">
        <f t="shared" si="17"/>
        <v>-17.924008230698828</v>
      </c>
      <c r="W22" s="14">
        <v>0</v>
      </c>
      <c r="X22" s="17">
        <f t="shared" si="18"/>
        <v>-1.7872385281296348</v>
      </c>
      <c r="Y22" s="14">
        <f t="shared" si="24"/>
        <v>-2.4339653776593397E-4</v>
      </c>
      <c r="Z22" s="17">
        <f t="shared" si="25"/>
        <v>-0.4289292336586128</v>
      </c>
      <c r="AA22" s="5">
        <f t="shared" si="19"/>
        <v>-1.1740623535975716</v>
      </c>
      <c r="AB22" s="5">
        <f t="shared" si="20"/>
        <v>64.185382113857187</v>
      </c>
      <c r="AC22" s="5">
        <f t="shared" si="26"/>
        <v>-1.1898588752324442</v>
      </c>
      <c r="AD22" s="6">
        <f t="shared" si="27"/>
        <v>60.730926916827819</v>
      </c>
    </row>
    <row r="23" spans="1:30">
      <c r="A23" s="4">
        <v>3</v>
      </c>
      <c r="B23" s="20">
        <f t="shared" si="21"/>
        <v>10000</v>
      </c>
      <c r="C23" s="14">
        <f t="shared" si="0"/>
        <v>0.1602944211627606</v>
      </c>
      <c r="D23" s="5">
        <f t="shared" si="1"/>
        <v>-10.973699910674101</v>
      </c>
      <c r="E23" s="5">
        <f t="shared" si="2"/>
        <v>-16.363902734168072</v>
      </c>
      <c r="F23" s="5">
        <f t="shared" si="3"/>
        <v>-81.25793832988883</v>
      </c>
      <c r="G23" s="5">
        <f t="shared" si="4"/>
        <v>7.1345848855859466E-4</v>
      </c>
      <c r="H23" s="5">
        <f t="shared" si="5"/>
        <v>0.73435978494408061</v>
      </c>
      <c r="I23" s="5">
        <f t="shared" si="6"/>
        <v>-1.4986706151730598E-7</v>
      </c>
      <c r="J23" s="17">
        <f t="shared" si="7"/>
        <v>-1.0643478138440594E-2</v>
      </c>
      <c r="K23" s="14">
        <f t="shared" si="8"/>
        <v>-69.593849576810854</v>
      </c>
      <c r="L23" s="5">
        <f t="shared" si="9"/>
        <v>-89.981014144921829</v>
      </c>
      <c r="M23" s="5">
        <f t="shared" si="10"/>
        <v>11.321932824381433</v>
      </c>
      <c r="N23" s="5">
        <f t="shared" si="11"/>
        <v>74.241484750037003</v>
      </c>
      <c r="O23" s="5">
        <f t="shared" si="12"/>
        <v>-2.5009238609537222E-2</v>
      </c>
      <c r="P23" s="17">
        <f t="shared" si="13"/>
        <v>-4.3458254761619051</v>
      </c>
      <c r="Q23" s="5">
        <f t="shared" si="22"/>
        <v>-8.2200208034019451E-2</v>
      </c>
      <c r="R23" s="5">
        <f t="shared" si="23"/>
        <v>-7.8701265958336517</v>
      </c>
      <c r="S23" s="14">
        <f t="shared" si="14"/>
        <v>0.62471589375774927</v>
      </c>
      <c r="T23" s="5">
        <f t="shared" si="15"/>
        <v>21.471073927769854</v>
      </c>
      <c r="U23" s="5">
        <f t="shared" si="16"/>
        <v>-0.21024238039335558</v>
      </c>
      <c r="V23" s="17">
        <f t="shared" si="17"/>
        <v>-22.576782707895173</v>
      </c>
      <c r="W23" s="14">
        <v>0</v>
      </c>
      <c r="X23" s="17">
        <f t="shared" si="18"/>
        <v>-2.25</v>
      </c>
      <c r="Y23" s="14">
        <f t="shared" si="24"/>
        <v>-3.8575119349709068E-4</v>
      </c>
      <c r="Z23" s="17">
        <f t="shared" si="25"/>
        <v>-0.53998401209295088</v>
      </c>
      <c r="AA23" s="5">
        <f t="shared" si="19"/>
        <v>-3.129816826990016</v>
      </c>
      <c r="AB23" s="5">
        <f t="shared" si="20"/>
        <v>60.986729283305955</v>
      </c>
      <c r="AC23" s="5">
        <f t="shared" si="26"/>
        <v>-3.1548260655995533</v>
      </c>
      <c r="AD23" s="6">
        <f t="shared" si="27"/>
        <v>56.640903807144049</v>
      </c>
    </row>
    <row r="24" spans="1:30">
      <c r="A24" s="4">
        <v>3.1</v>
      </c>
      <c r="B24" s="21">
        <f t="shared" si="21"/>
        <v>12589.25411794168</v>
      </c>
      <c r="C24" s="14">
        <f t="shared" si="0"/>
        <v>0.25137855609325122</v>
      </c>
      <c r="D24" s="5">
        <f t="shared" si="1"/>
        <v>-13.718220463351672</v>
      </c>
      <c r="E24" s="5">
        <f t="shared" si="2"/>
        <v>-18.326721109768595</v>
      </c>
      <c r="F24" s="5">
        <f t="shared" si="3"/>
        <v>-83.036037777308792</v>
      </c>
      <c r="G24" s="5">
        <f t="shared" si="4"/>
        <v>1.1307011830801992E-3</v>
      </c>
      <c r="H24" s="5">
        <f t="shared" si="5"/>
        <v>0.92447458746144917</v>
      </c>
      <c r="I24" s="5">
        <f t="shared" si="6"/>
        <v>-2.3752328456070161E-7</v>
      </c>
      <c r="J24" s="17">
        <f t="shared" si="7"/>
        <v>-1.3399345008209581E-2</v>
      </c>
      <c r="K24" s="14">
        <f t="shared" si="8"/>
        <v>-71.593849400825761</v>
      </c>
      <c r="L24" s="5">
        <f t="shared" si="9"/>
        <v>-89.984918999047323</v>
      </c>
      <c r="M24" s="5">
        <f t="shared" si="10"/>
        <v>13.202080508598273</v>
      </c>
      <c r="N24" s="5">
        <f t="shared" si="11"/>
        <v>77.365915319648309</v>
      </c>
      <c r="O24" s="5">
        <f t="shared" si="12"/>
        <v>-3.9570497001772363E-2</v>
      </c>
      <c r="P24" s="17">
        <f t="shared" si="13"/>
        <v>-5.464952923231067</v>
      </c>
      <c r="Q24" s="5">
        <f t="shared" si="22"/>
        <v>-0.12956716177017313</v>
      </c>
      <c r="R24" s="5">
        <f t="shared" si="23"/>
        <v>-9.8718305101423525</v>
      </c>
      <c r="S24" s="14">
        <f t="shared" si="14"/>
        <v>0.95236736694601143</v>
      </c>
      <c r="T24" s="5">
        <f t="shared" si="15"/>
        <v>26.343226364159168</v>
      </c>
      <c r="U24" s="5">
        <f t="shared" si="16"/>
        <v>-0.33952847138646114</v>
      </c>
      <c r="V24" s="17">
        <f t="shared" si="17"/>
        <v>-28.436681016343066</v>
      </c>
      <c r="W24" s="14">
        <v>0</v>
      </c>
      <c r="X24" s="17">
        <f t="shared" si="18"/>
        <v>-2.8325821765368779</v>
      </c>
      <c r="Y24" s="14">
        <f t="shared" si="24"/>
        <v>-6.1135856061658679E-4</v>
      </c>
      <c r="Z24" s="17">
        <f t="shared" si="25"/>
        <v>-0.67978782329471155</v>
      </c>
      <c r="AA24" s="5">
        <f t="shared" si="19"/>
        <v>-4.970213231327933</v>
      </c>
      <c r="AB24" s="5">
        <f t="shared" si="20"/>
        <v>56.060158160235922</v>
      </c>
      <c r="AC24" s="5">
        <f t="shared" si="26"/>
        <v>-5.0097837283297055</v>
      </c>
      <c r="AD24" s="6">
        <f t="shared" si="27"/>
        <v>50.595205237004855</v>
      </c>
    </row>
    <row r="25" spans="1:30">
      <c r="A25" s="4">
        <v>3.2</v>
      </c>
      <c r="B25" s="21">
        <f t="shared" si="21"/>
        <v>15848.931924611155</v>
      </c>
      <c r="C25" s="14">
        <f t="shared" si="0"/>
        <v>0.39193466676182837</v>
      </c>
      <c r="D25" s="5">
        <f t="shared" si="1"/>
        <v>-17.083088644596334</v>
      </c>
      <c r="E25" s="5">
        <f t="shared" si="2"/>
        <v>-20.303096237172113</v>
      </c>
      <c r="F25" s="5">
        <f t="shared" si="3"/>
        <v>-84.458272440745986</v>
      </c>
      <c r="G25" s="5">
        <f t="shared" si="4"/>
        <v>1.7919041883588435E-3</v>
      </c>
      <c r="H25" s="5">
        <f t="shared" si="5"/>
        <v>1.1637854853751868</v>
      </c>
      <c r="I25" s="5">
        <f t="shared" si="6"/>
        <v>-3.7644902950701892E-7</v>
      </c>
      <c r="J25" s="17">
        <f t="shared" si="7"/>
        <v>-1.6868775752361544E-2</v>
      </c>
      <c r="K25" s="14">
        <f t="shared" si="8"/>
        <v>-73.593849289786661</v>
      </c>
      <c r="L25" s="5">
        <f t="shared" si="9"/>
        <v>-89.988020735033288</v>
      </c>
      <c r="M25" s="5">
        <f t="shared" si="10"/>
        <v>15.124720755828617</v>
      </c>
      <c r="N25" s="5">
        <f t="shared" si="11"/>
        <v>79.904305021048842</v>
      </c>
      <c r="O25" s="5">
        <f t="shared" si="12"/>
        <v>-6.254899395569341E-2</v>
      </c>
      <c r="P25" s="17">
        <f t="shared" si="13"/>
        <v>-6.8678258633392755</v>
      </c>
      <c r="Q25" s="5">
        <f t="shared" si="22"/>
        <v>-0.20359627491361529</v>
      </c>
      <c r="R25" s="5">
        <f t="shared" si="23"/>
        <v>-12.357125151353884</v>
      </c>
      <c r="S25" s="14">
        <f t="shared" si="14"/>
        <v>1.4257873001250014</v>
      </c>
      <c r="T25" s="5">
        <f t="shared" si="15"/>
        <v>31.938667423320322</v>
      </c>
      <c r="U25" s="5">
        <f t="shared" si="16"/>
        <v>-0.55252457863126714</v>
      </c>
      <c r="V25" s="17">
        <f t="shared" si="17"/>
        <v>-35.800335794397803</v>
      </c>
      <c r="W25" s="14">
        <v>0</v>
      </c>
      <c r="X25" s="17">
        <f t="shared" si="18"/>
        <v>-3.5660096830375099</v>
      </c>
      <c r="Y25" s="14">
        <f t="shared" si="24"/>
        <v>-9.6889813583300581E-4</v>
      </c>
      <c r="Z25" s="17">
        <f t="shared" si="25"/>
        <v>-0.85577868005241375</v>
      </c>
      <c r="AA25" s="5">
        <f t="shared" si="19"/>
        <v>-6.696693652498368</v>
      </c>
      <c r="AB25" s="5">
        <f t="shared" si="20"/>
        <v>48.88125802477478</v>
      </c>
      <c r="AC25" s="5">
        <f t="shared" si="26"/>
        <v>-6.7592426464540614</v>
      </c>
      <c r="AD25" s="6">
        <f t="shared" si="27"/>
        <v>42.013432161435503</v>
      </c>
    </row>
    <row r="26" spans="1:30">
      <c r="A26" s="7">
        <v>3.3</v>
      </c>
      <c r="B26" s="22">
        <f t="shared" si="21"/>
        <v>19952.623149688803</v>
      </c>
      <c r="C26" s="14">
        <f t="shared" si="0"/>
        <v>0.60578238468988366</v>
      </c>
      <c r="D26" s="8">
        <f t="shared" si="1"/>
        <v>-21.150921508933905</v>
      </c>
      <c r="E26" s="5">
        <f t="shared" si="2"/>
        <v>-22.28812355267095</v>
      </c>
      <c r="F26" s="8">
        <f t="shared" si="3"/>
        <v>-85.592982556523651</v>
      </c>
      <c r="G26" s="5">
        <f t="shared" si="4"/>
        <v>2.8396341694809962E-3</v>
      </c>
      <c r="H26" s="5">
        <f t="shared" si="5"/>
        <v>1.4650012983949845</v>
      </c>
      <c r="I26" s="5">
        <f t="shared" si="6"/>
        <v>-5.9663148963718225E-7</v>
      </c>
      <c r="J26" s="17">
        <f t="shared" si="7"/>
        <v>-2.1236530101615726E-2</v>
      </c>
      <c r="K26" s="14">
        <f t="shared" si="8"/>
        <v>-75.593849219725712</v>
      </c>
      <c r="L26" s="5">
        <f t="shared" si="9"/>
        <v>-89.990484531554529</v>
      </c>
      <c r="M26" s="5">
        <f t="shared" si="10"/>
        <v>17.075191372823284</v>
      </c>
      <c r="N26" s="8">
        <f t="shared" si="11"/>
        <v>81.95005688199565</v>
      </c>
      <c r="O26" s="5">
        <f t="shared" si="12"/>
        <v>-9.8720232703374752E-2</v>
      </c>
      <c r="P26" s="17">
        <f t="shared" si="13"/>
        <v>-8.6220509222374915</v>
      </c>
      <c r="Q26" s="5">
        <f t="shared" si="22"/>
        <v>-0.31839935762967708</v>
      </c>
      <c r="R26" s="5">
        <f t="shared" si="23"/>
        <v>-15.419136699584552</v>
      </c>
      <c r="S26" s="14">
        <f t="shared" si="14"/>
        <v>2.0841379451638131</v>
      </c>
      <c r="T26" s="5">
        <f t="shared" si="15"/>
        <v>38.124515819904452</v>
      </c>
      <c r="U26" s="5">
        <f t="shared" si="16"/>
        <v>-0.90641151277568777</v>
      </c>
      <c r="V26" s="17">
        <f t="shared" si="17"/>
        <v>-44.993222816385909</v>
      </c>
      <c r="W26" s="14">
        <v>0</v>
      </c>
      <c r="X26" s="17">
        <f t="shared" si="18"/>
        <v>-4.4893402086799803</v>
      </c>
      <c r="Y26" s="14">
        <f t="shared" si="24"/>
        <v>-1.5354998871882511E-3</v>
      </c>
      <c r="Z26" s="17">
        <f t="shared" si="25"/>
        <v>-1.0773146737951071</v>
      </c>
      <c r="AA26" s="5">
        <f t="shared" si="19"/>
        <v>-8.327261026787891</v>
      </c>
      <c r="AB26" s="5">
        <f t="shared" si="20"/>
        <v>38.804934474735823</v>
      </c>
      <c r="AC26" s="5">
        <f t="shared" si="26"/>
        <v>-8.425981259491266</v>
      </c>
      <c r="AD26" s="6">
        <f t="shared" si="27"/>
        <v>30.182883552498332</v>
      </c>
    </row>
    <row r="27" spans="1:30">
      <c r="A27" s="4">
        <v>3.4</v>
      </c>
      <c r="B27" s="21">
        <f t="shared" si="21"/>
        <v>25118.864315095812</v>
      </c>
      <c r="C27" s="14">
        <f t="shared" si="0"/>
        <v>0.92451182155943323</v>
      </c>
      <c r="D27" s="5">
        <f t="shared" si="1"/>
        <v>-25.969082550757118</v>
      </c>
      <c r="E27" s="5">
        <f t="shared" si="2"/>
        <v>-24.278649798215696</v>
      </c>
      <c r="F27" s="5">
        <f t="shared" si="3"/>
        <v>-86.496833616349292</v>
      </c>
      <c r="G27" s="5">
        <f t="shared" si="4"/>
        <v>4.4996566993841108E-3</v>
      </c>
      <c r="H27" s="5">
        <f t="shared" si="5"/>
        <v>1.8440923629590356</v>
      </c>
      <c r="I27" s="5">
        <f t="shared" si="6"/>
        <v>-9.4559714938183147E-7</v>
      </c>
      <c r="J27" s="17">
        <f t="shared" si="7"/>
        <v>-2.6735206687177222E-2</v>
      </c>
      <c r="K27" s="14">
        <f t="shared" si="8"/>
        <v>-77.593849175520248</v>
      </c>
      <c r="L27" s="5">
        <f t="shared" si="9"/>
        <v>-89.992441594721498</v>
      </c>
      <c r="M27" s="5">
        <f t="shared" si="10"/>
        <v>19.043647283744221</v>
      </c>
      <c r="N27" s="5">
        <f t="shared" si="11"/>
        <v>83.590169463478631</v>
      </c>
      <c r="O27" s="5">
        <f t="shared" si="12"/>
        <v>-0.15543773717861387</v>
      </c>
      <c r="P27" s="17">
        <f t="shared" si="13"/>
        <v>-10.807186080091723</v>
      </c>
      <c r="Q27" s="5">
        <f t="shared" si="22"/>
        <v>-0.49435315656678225</v>
      </c>
      <c r="R27" s="5">
        <f t="shared" si="23"/>
        <v>-19.147934569609838</v>
      </c>
      <c r="S27" s="14">
        <f t="shared" si="14"/>
        <v>2.9581587819233728</v>
      </c>
      <c r="T27" s="5">
        <f t="shared" si="15"/>
        <v>44.653973496748613</v>
      </c>
      <c r="U27" s="5">
        <f t="shared" si="16"/>
        <v>-1.4943205663743921</v>
      </c>
      <c r="V27" s="17">
        <f t="shared" si="17"/>
        <v>-56.287895368805692</v>
      </c>
      <c r="W27" s="14">
        <v>0</v>
      </c>
      <c r="X27" s="17">
        <f t="shared" si="18"/>
        <v>-5.6517444708965581</v>
      </c>
      <c r="Y27" s="14">
        <f t="shared" si="24"/>
        <v>-2.4333517528940802E-3</v>
      </c>
      <c r="Z27" s="17">
        <f t="shared" si="25"/>
        <v>-1.3561653534395415</v>
      </c>
      <c r="AA27" s="5">
        <f t="shared" si="19"/>
        <v>-9.9196820744144087</v>
      </c>
      <c r="AB27" s="5">
        <f t="shared" si="20"/>
        <v>25.159402591919552</v>
      </c>
      <c r="AC27" s="5">
        <f t="shared" si="26"/>
        <v>-10.075119811593023</v>
      </c>
      <c r="AD27" s="6">
        <f t="shared" si="27"/>
        <v>14.352216511827828</v>
      </c>
    </row>
    <row r="28" spans="1:30">
      <c r="A28" s="4">
        <v>3.5</v>
      </c>
      <c r="B28" s="21">
        <f t="shared" si="21"/>
        <v>31622.776601683803</v>
      </c>
      <c r="C28" s="14">
        <f t="shared" si="0"/>
        <v>1.3861450548412431</v>
      </c>
      <c r="D28" s="5">
        <f t="shared" si="1"/>
        <v>-31.51571962571737</v>
      </c>
      <c r="E28" s="5">
        <f t="shared" si="2"/>
        <v>-26.272661612333401</v>
      </c>
      <c r="F28" s="5">
        <f t="shared" si="3"/>
        <v>-87.216056275176285</v>
      </c>
      <c r="G28" s="5">
        <f t="shared" si="4"/>
        <v>7.1293160571497972E-3</v>
      </c>
      <c r="H28" s="5">
        <f t="shared" si="5"/>
        <v>2.3211061287974588</v>
      </c>
      <c r="I28" s="5">
        <f t="shared" si="6"/>
        <v>-1.4986703882342784E-6</v>
      </c>
      <c r="J28" s="17">
        <f t="shared" si="7"/>
        <v>-3.3657629659292317E-2</v>
      </c>
      <c r="K28" s="14">
        <f t="shared" si="8"/>
        <v>-79.593849147628475</v>
      </c>
      <c r="L28" s="5">
        <f t="shared" si="9"/>
        <v>-89.993996145264944</v>
      </c>
      <c r="M28" s="5">
        <f t="shared" si="10"/>
        <v>21.02362577318442</v>
      </c>
      <c r="N28" s="5">
        <f t="shared" si="11"/>
        <v>84.900649755621316</v>
      </c>
      <c r="O28" s="5">
        <f t="shared" si="12"/>
        <v>-0.24383865652671313</v>
      </c>
      <c r="P28" s="17">
        <f t="shared" si="13"/>
        <v>-13.512879130185121</v>
      </c>
      <c r="Q28" s="5">
        <f t="shared" si="22"/>
        <v>-0.75939306477023416</v>
      </c>
      <c r="R28" s="5">
        <f t="shared" si="23"/>
        <v>-23.611191258808496</v>
      </c>
      <c r="S28" s="14">
        <f t="shared" si="14"/>
        <v>4.0603993223843915</v>
      </c>
      <c r="T28" s="5">
        <f t="shared" si="15"/>
        <v>51.201378736991217</v>
      </c>
      <c r="U28" s="5">
        <f t="shared" si="16"/>
        <v>-2.4515724094562277</v>
      </c>
      <c r="V28" s="17">
        <f t="shared" si="17"/>
        <v>-69.708621872328635</v>
      </c>
      <c r="W28" s="14">
        <v>0</v>
      </c>
      <c r="X28" s="17">
        <f t="shared" si="18"/>
        <v>-7.1151247353788563</v>
      </c>
      <c r="Y28" s="14">
        <f t="shared" si="24"/>
        <v>-3.8559709495343516E-3</v>
      </c>
      <c r="Z28" s="17">
        <f t="shared" si="25"/>
        <v>-1.7071245968306352</v>
      </c>
      <c r="AA28" s="5">
        <f t="shared" si="19"/>
        <v>-11.590926861654712</v>
      </c>
      <c r="AB28" s="5">
        <f t="shared" si="20"/>
        <v>7.5216424822454861</v>
      </c>
      <c r="AC28" s="5">
        <f t="shared" si="26"/>
        <v>-11.834765518181424</v>
      </c>
      <c r="AD28" s="6">
        <f t="shared" si="27"/>
        <v>-5.9912366479396351</v>
      </c>
    </row>
    <row r="29" spans="1:30">
      <c r="A29" s="4">
        <v>3.6</v>
      </c>
      <c r="B29" s="21">
        <f t="shared" si="21"/>
        <v>39810.717055349771</v>
      </c>
      <c r="C29" s="14">
        <f t="shared" si="0"/>
        <v>2.0300570572072303</v>
      </c>
      <c r="D29" s="5">
        <f t="shared" si="1"/>
        <v>-37.666190001202168</v>
      </c>
      <c r="E29" s="5">
        <f t="shared" si="2"/>
        <v>-28.268879069713616</v>
      </c>
      <c r="F29" s="5">
        <f t="shared" si="3"/>
        <v>-87.787992631898078</v>
      </c>
      <c r="G29" s="5">
        <f t="shared" si="4"/>
        <v>1.1293786439812093E-2</v>
      </c>
      <c r="H29" s="5">
        <f t="shared" si="5"/>
        <v>2.9211653692061699</v>
      </c>
      <c r="I29" s="5">
        <f t="shared" si="6"/>
        <v>-2.3752322564992529E-6</v>
      </c>
      <c r="J29" s="17">
        <f t="shared" si="7"/>
        <v>-4.23724424280809E-2</v>
      </c>
      <c r="K29" s="14">
        <f t="shared" si="8"/>
        <v>-81.593849130029966</v>
      </c>
      <c r="L29" s="5">
        <f t="shared" si="9"/>
        <v>-89.995230968660309</v>
      </c>
      <c r="M29" s="5">
        <f t="shared" si="10"/>
        <v>23.010945396199244</v>
      </c>
      <c r="N29" s="5">
        <f t="shared" si="11"/>
        <v>85.945494573333633</v>
      </c>
      <c r="O29" s="5">
        <f t="shared" si="12"/>
        <v>-0.38035991679191167</v>
      </c>
      <c r="P29" s="17">
        <f t="shared" si="13"/>
        <v>-16.832695196075555</v>
      </c>
      <c r="Q29" s="5">
        <f t="shared" si="22"/>
        <v>-1.1488919197553591</v>
      </c>
      <c r="R29" s="5">
        <f t="shared" si="23"/>
        <v>-28.824157997824511</v>
      </c>
      <c r="S29" s="14">
        <f t="shared" si="14"/>
        <v>5.3806221878008467</v>
      </c>
      <c r="T29" s="5">
        <f t="shared" si="15"/>
        <v>57.436688240465173</v>
      </c>
      <c r="U29" s="5">
        <f t="shared" si="16"/>
        <v>-3.931646819080203</v>
      </c>
      <c r="V29" s="17">
        <f t="shared" si="17"/>
        <v>-84.746540426315988</v>
      </c>
      <c r="W29" s="14">
        <v>0</v>
      </c>
      <c r="X29" s="17">
        <f t="shared" si="18"/>
        <v>-8.9574113374536992</v>
      </c>
      <c r="Y29" s="14">
        <f t="shared" si="24"/>
        <v>-6.1097162988863829E-3</v>
      </c>
      <c r="Z29" s="17">
        <f t="shared" si="25"/>
        <v>-2.1487707497674631</v>
      </c>
      <c r="AA29" s="5">
        <f t="shared" si="19"/>
        <v>-13.503353226776799</v>
      </c>
      <c r="AB29" s="5">
        <f t="shared" si="20"/>
        <v>-13.865318372545323</v>
      </c>
      <c r="AC29" s="5">
        <f t="shared" si="26"/>
        <v>-13.883713143568711</v>
      </c>
      <c r="AD29" s="6">
        <f t="shared" si="27"/>
        <v>-30.69801356862088</v>
      </c>
    </row>
    <row r="30" spans="1:30">
      <c r="A30" s="4">
        <v>3.7</v>
      </c>
      <c r="B30" s="21">
        <f t="shared" si="21"/>
        <v>50118.723362727324</v>
      </c>
      <c r="C30" s="14">
        <f t="shared" si="0"/>
        <v>2.8879410743718603</v>
      </c>
      <c r="D30" s="5">
        <f t="shared" si="1"/>
        <v>-44.181280274557892</v>
      </c>
      <c r="E30" s="5">
        <f t="shared" si="2"/>
        <v>-30.26649075045048</v>
      </c>
      <c r="F30" s="5">
        <f t="shared" si="3"/>
        <v>-88.242617923211583</v>
      </c>
      <c r="G30" s="5">
        <f t="shared" si="4"/>
        <v>1.7885858188427181E-2</v>
      </c>
      <c r="H30" s="5">
        <f t="shared" si="5"/>
        <v>3.6756682695428049</v>
      </c>
      <c r="I30" s="5">
        <f t="shared" si="6"/>
        <v>-3.7644888325250294E-6</v>
      </c>
      <c r="J30" s="17">
        <f t="shared" si="7"/>
        <v>-5.334373884448565E-2</v>
      </c>
      <c r="K30" s="14">
        <f t="shared" si="8"/>
        <v>-83.593849118926073</v>
      </c>
      <c r="L30" s="5">
        <f t="shared" si="9"/>
        <v>-89.996211823751381</v>
      </c>
      <c r="M30" s="5">
        <f t="shared" si="10"/>
        <v>25.002925527278762</v>
      </c>
      <c r="N30" s="5">
        <f t="shared" si="11"/>
        <v>86.777407732352415</v>
      </c>
      <c r="O30" s="5">
        <f t="shared" si="12"/>
        <v>-0.58830720283946669</v>
      </c>
      <c r="P30" s="17">
        <f t="shared" si="13"/>
        <v>-20.850636385554751</v>
      </c>
      <c r="Q30" s="5">
        <f t="shared" si="22"/>
        <v>-1.7024999496285151</v>
      </c>
      <c r="R30" s="5">
        <f t="shared" si="23"/>
        <v>-34.713888015181389</v>
      </c>
      <c r="S30" s="14">
        <f t="shared" si="14"/>
        <v>6.8895792197809245</v>
      </c>
      <c r="T30" s="5">
        <f t="shared" si="15"/>
        <v>63.102334182848118</v>
      </c>
      <c r="U30" s="5">
        <f t="shared" si="16"/>
        <v>-6.0350026296029666</v>
      </c>
      <c r="V30" s="17">
        <f t="shared" si="17"/>
        <v>-100.25655681880932</v>
      </c>
      <c r="W30" s="14">
        <v>0</v>
      </c>
      <c r="X30" s="17">
        <f t="shared" si="18"/>
        <v>-11.276712756613646</v>
      </c>
      <c r="Y30" s="14">
        <f t="shared" si="24"/>
        <v>-9.6792679566549498E-3</v>
      </c>
      <c r="Z30" s="17">
        <f t="shared" si="25"/>
        <v>-2.7044008864695801</v>
      </c>
      <c r="AA30" s="5">
        <f t="shared" si="19"/>
        <v>-15.7960864257472</v>
      </c>
      <c r="AB30" s="5">
        <f t="shared" si="20"/>
        <v>-37.869602052695932</v>
      </c>
      <c r="AC30" s="5">
        <f t="shared" si="26"/>
        <v>-16.384393628586668</v>
      </c>
      <c r="AD30" s="6">
        <f t="shared" si="27"/>
        <v>-58.720238438250682</v>
      </c>
    </row>
    <row r="31" spans="1:30">
      <c r="A31" s="4">
        <v>3.8</v>
      </c>
      <c r="B31" s="21">
        <f t="shared" si="21"/>
        <v>63095.734448019386</v>
      </c>
      <c r="C31" s="14">
        <f t="shared" si="0"/>
        <v>3.9738956707411517</v>
      </c>
      <c r="D31" s="5">
        <f t="shared" si="1"/>
        <v>-50.738817315074677</v>
      </c>
      <c r="E31" s="5">
        <f t="shared" si="2"/>
        <v>-32.26498314679808</v>
      </c>
      <c r="F31" s="5">
        <f t="shared" si="3"/>
        <v>-88.603900243337577</v>
      </c>
      <c r="G31" s="5">
        <f t="shared" si="4"/>
        <v>2.8313134825047735E-2</v>
      </c>
      <c r="H31" s="5">
        <f t="shared" si="5"/>
        <v>4.6236876388058281</v>
      </c>
      <c r="I31" s="5">
        <f t="shared" si="6"/>
        <v>-5.9663112130545403E-6</v>
      </c>
      <c r="J31" s="17">
        <f t="shared" si="7"/>
        <v>-6.7155777042366624E-2</v>
      </c>
      <c r="K31" s="14">
        <f t="shared" si="8"/>
        <v>-85.593849111919965</v>
      </c>
      <c r="L31" s="5">
        <f t="shared" si="9"/>
        <v>-89.996990944645987</v>
      </c>
      <c r="M31" s="5">
        <f t="shared" si="10"/>
        <v>26.997857701318413</v>
      </c>
      <c r="N31" s="5">
        <f t="shared" si="11"/>
        <v>87.439207752375992</v>
      </c>
      <c r="O31" s="5">
        <f t="shared" si="12"/>
        <v>-0.898750822172379</v>
      </c>
      <c r="P31" s="17">
        <f t="shared" si="13"/>
        <v>-25.617460662221287</v>
      </c>
      <c r="Q31" s="5">
        <f t="shared" si="22"/>
        <v>-2.4568177055581373</v>
      </c>
      <c r="R31" s="5">
        <f t="shared" si="23"/>
        <v>-41.094052585212204</v>
      </c>
      <c r="S31" s="14">
        <f t="shared" si="14"/>
        <v>8.5485081303002488</v>
      </c>
      <c r="T31" s="5">
        <f t="shared" si="15"/>
        <v>68.053275016491853</v>
      </c>
      <c r="U31" s="5">
        <f t="shared" si="16"/>
        <v>-8.7401788388836845</v>
      </c>
      <c r="V31" s="17">
        <f t="shared" si="17"/>
        <v>-114.86675054976034</v>
      </c>
      <c r="W31" s="14">
        <v>0</v>
      </c>
      <c r="X31" s="17">
        <f t="shared" si="18"/>
        <v>-14.196540250804361</v>
      </c>
      <c r="Y31" s="14">
        <f t="shared" si="24"/>
        <v>-1.5330623196755964E-2</v>
      </c>
      <c r="Z31" s="17">
        <f t="shared" si="25"/>
        <v>-3.4031619653639114</v>
      </c>
      <c r="AA31" s="5">
        <f t="shared" si="19"/>
        <v>-18.509483379796638</v>
      </c>
      <c r="AB31" s="5">
        <f t="shared" si="20"/>
        <v>-62.851199223567768</v>
      </c>
      <c r="AC31" s="5">
        <f t="shared" si="26"/>
        <v>-19.408234201969016</v>
      </c>
      <c r="AD31" s="6">
        <f t="shared" si="27"/>
        <v>-88.468659885789052</v>
      </c>
    </row>
    <row r="32" spans="1:30">
      <c r="A32" s="4">
        <v>3.9</v>
      </c>
      <c r="B32" s="21">
        <f t="shared" si="21"/>
        <v>79432.82347242815</v>
      </c>
      <c r="C32" s="14">
        <f t="shared" si="0"/>
        <v>5.2792891761798604</v>
      </c>
      <c r="D32" s="5">
        <f t="shared" si="1"/>
        <v>-57.006272685706627</v>
      </c>
      <c r="E32" s="5">
        <f t="shared" si="2"/>
        <v>-34.264031643851425</v>
      </c>
      <c r="F32" s="5">
        <f t="shared" si="3"/>
        <v>-88.890957548539561</v>
      </c>
      <c r="G32" s="5">
        <f t="shared" si="4"/>
        <v>4.4788142487627199E-2</v>
      </c>
      <c r="H32" s="5">
        <f t="shared" si="5"/>
        <v>5.8135137481574786</v>
      </c>
      <c r="I32" s="5">
        <f t="shared" si="6"/>
        <v>-9.455962225473545E-6</v>
      </c>
      <c r="J32" s="17">
        <f t="shared" si="7"/>
        <v>-8.4544091623068834E-2</v>
      </c>
      <c r="K32" s="14">
        <f t="shared" si="8"/>
        <v>-87.593849107499423</v>
      </c>
      <c r="L32" s="5">
        <f t="shared" si="9"/>
        <v>-89.997609822371643</v>
      </c>
      <c r="M32" s="5">
        <f t="shared" si="10"/>
        <v>28.99465707384071</v>
      </c>
      <c r="N32" s="5">
        <f t="shared" si="11"/>
        <v>87.96539055072013</v>
      </c>
      <c r="O32" s="5">
        <f t="shared" si="12"/>
        <v>-1.3493873352519232</v>
      </c>
      <c r="P32" s="17">
        <f t="shared" si="13"/>
        <v>-31.117187632987047</v>
      </c>
      <c r="Q32" s="5">
        <f t="shared" si="22"/>
        <v>-3.4352776927370501</v>
      </c>
      <c r="R32" s="5">
        <f t="shared" si="23"/>
        <v>-47.674421686569886</v>
      </c>
      <c r="S32" s="14">
        <f t="shared" si="14"/>
        <v>10.318654123875486</v>
      </c>
      <c r="T32" s="5">
        <f t="shared" si="15"/>
        <v>72.251658554835927</v>
      </c>
      <c r="U32" s="5">
        <f t="shared" si="16"/>
        <v>-11.919879602755765</v>
      </c>
      <c r="V32" s="17">
        <f t="shared" si="17"/>
        <v>-127.62119310515482</v>
      </c>
      <c r="W32" s="14">
        <v>0</v>
      </c>
      <c r="X32" s="17">
        <f t="shared" si="18"/>
        <v>-17.872385281296332</v>
      </c>
      <c r="Y32" s="14">
        <f t="shared" si="24"/>
        <v>-2.4272381071907167E-2</v>
      </c>
      <c r="Z32" s="17">
        <f t="shared" si="25"/>
        <v>-4.281385945012568</v>
      </c>
      <c r="AA32" s="5">
        <f t="shared" si="19"/>
        <v>-21.586823991807758</v>
      </c>
      <c r="AB32" s="5">
        <f t="shared" si="20"/>
        <v>-87.39820731256097</v>
      </c>
      <c r="AC32" s="5">
        <f t="shared" si="26"/>
        <v>-22.936211327059681</v>
      </c>
      <c r="AD32" s="6">
        <f t="shared" si="27"/>
        <v>-118.51539494554802</v>
      </c>
    </row>
    <row r="33" spans="1:30">
      <c r="A33" s="4">
        <v>4</v>
      </c>
      <c r="B33" s="20">
        <f t="shared" si="21"/>
        <v>100000</v>
      </c>
      <c r="C33" s="14">
        <f t="shared" si="0"/>
        <v>6.7759559653189649</v>
      </c>
      <c r="D33" s="5">
        <f t="shared" si="1"/>
        <v>-62.718974954235172</v>
      </c>
      <c r="E33" s="5">
        <f t="shared" si="2"/>
        <v>-36.263431178798562</v>
      </c>
      <c r="F33" s="5">
        <f t="shared" si="3"/>
        <v>-89.119015664304698</v>
      </c>
      <c r="G33" s="5">
        <f t="shared" si="4"/>
        <v>7.0771920581649411E-2</v>
      </c>
      <c r="H33" s="5">
        <f t="shared" si="5"/>
        <v>7.3041728491196922</v>
      </c>
      <c r="I33" s="5">
        <f t="shared" si="6"/>
        <v>-1.4986680614643392E-5</v>
      </c>
      <c r="J33" s="17">
        <f t="shared" si="7"/>
        <v>-0.10643466017997434</v>
      </c>
      <c r="K33" s="14">
        <f t="shared" si="8"/>
        <v>-89.59384910471023</v>
      </c>
      <c r="L33" s="5">
        <f t="shared" si="9"/>
        <v>-89.998101414423388</v>
      </c>
      <c r="M33" s="5">
        <f t="shared" si="10"/>
        <v>30.992636400087704</v>
      </c>
      <c r="N33" s="5">
        <f t="shared" si="11"/>
        <v>88.383601561681886</v>
      </c>
      <c r="O33" s="5">
        <f t="shared" si="12"/>
        <v>-1.9797494428563729</v>
      </c>
      <c r="P33" s="17">
        <f t="shared" si="13"/>
        <v>-37.232928478018223</v>
      </c>
      <c r="Q33" s="5">
        <f t="shared" si="22"/>
        <v>-4.6400571362863383</v>
      </c>
      <c r="R33" s="5">
        <f t="shared" si="23"/>
        <v>-54.116835785734267</v>
      </c>
      <c r="S33" s="14">
        <f t="shared" si="14"/>
        <v>12.167105903024449</v>
      </c>
      <c r="T33" s="5">
        <f t="shared" si="15"/>
        <v>75.735281312304636</v>
      </c>
      <c r="U33" s="5">
        <f t="shared" si="16"/>
        <v>-15.420858380892531</v>
      </c>
      <c r="V33" s="17">
        <f t="shared" si="17"/>
        <v>-138.21297573848736</v>
      </c>
      <c r="W33" s="14">
        <v>0</v>
      </c>
      <c r="X33" s="17">
        <f t="shared" si="18"/>
        <v>-22.5</v>
      </c>
      <c r="Y33" s="14">
        <f t="shared" si="24"/>
        <v>-3.8406508311962344E-2</v>
      </c>
      <c r="Z33" s="17">
        <f t="shared" si="25"/>
        <v>-5.3840959173935685</v>
      </c>
      <c r="AA33" s="5">
        <f t="shared" si="19"/>
        <v>-24.937039730981123</v>
      </c>
      <c r="AB33" s="5">
        <f t="shared" si="20"/>
        <v>-110.73337841165223</v>
      </c>
      <c r="AC33" s="5">
        <f t="shared" si="26"/>
        <v>-26.916789173837497</v>
      </c>
      <c r="AD33" s="6">
        <f t="shared" si="27"/>
        <v>-147.96630688967045</v>
      </c>
    </row>
    <row r="34" spans="1:30">
      <c r="A34" s="4">
        <v>4.0999999999999996</v>
      </c>
      <c r="B34" s="21">
        <f t="shared" si="21"/>
        <v>125892.54117941672</v>
      </c>
      <c r="C34" s="14">
        <f t="shared" si="0"/>
        <v>8.4254690756918134</v>
      </c>
      <c r="D34" s="5">
        <f t="shared" si="1"/>
        <v>-67.723526402704351</v>
      </c>
      <c r="E34" s="5">
        <f t="shared" si="2"/>
        <v>-38.263052268241601</v>
      </c>
      <c r="F34" s="5">
        <f t="shared" si="3"/>
        <v>-89.30018891535228</v>
      </c>
      <c r="G34" s="5">
        <f t="shared" si="4"/>
        <v>0.11163761381827944</v>
      </c>
      <c r="H34" s="5">
        <f t="shared" si="5"/>
        <v>9.1665315998124726</v>
      </c>
      <c r="I34" s="5">
        <f t="shared" si="6"/>
        <v>-2.3752264115944497E-5</v>
      </c>
      <c r="J34" s="17">
        <f t="shared" si="7"/>
        <v>-0.13399320824775673</v>
      </c>
      <c r="K34" s="14">
        <f t="shared" si="8"/>
        <v>-91.593849102950387</v>
      </c>
      <c r="L34" s="5">
        <f t="shared" si="9"/>
        <v>-89.998491899870245</v>
      </c>
      <c r="M34" s="5">
        <f t="shared" si="10"/>
        <v>32.991360957222994</v>
      </c>
      <c r="N34" s="5">
        <f t="shared" si="11"/>
        <v>88.715923373939091</v>
      </c>
      <c r="O34" s="5">
        <f t="shared" si="12"/>
        <v>-2.822386047910598</v>
      </c>
      <c r="P34" s="17">
        <f t="shared" si="13"/>
        <v>-43.732819578587879</v>
      </c>
      <c r="Q34" s="5">
        <f t="shared" si="22"/>
        <v>-6.0512646860105228</v>
      </c>
      <c r="R34" s="5">
        <f t="shared" si="23"/>
        <v>-60.116510881720551</v>
      </c>
      <c r="S34" s="14">
        <f t="shared" si="14"/>
        <v>14.068690800228401</v>
      </c>
      <c r="T34" s="5">
        <f t="shared" si="15"/>
        <v>78.582628650439531</v>
      </c>
      <c r="U34" s="5">
        <f t="shared" si="16"/>
        <v>-19.120956931555995</v>
      </c>
      <c r="V34" s="17">
        <f t="shared" si="17"/>
        <v>-146.77650010271867</v>
      </c>
      <c r="W34" s="14">
        <v>0</v>
      </c>
      <c r="X34" s="17">
        <f t="shared" si="18"/>
        <v>-28.325821765368762</v>
      </c>
      <c r="Y34" s="14">
        <f t="shared" si="24"/>
        <v>-6.071378943837262E-2</v>
      </c>
      <c r="Z34" s="17">
        <f t="shared" si="25"/>
        <v>-6.7665622434197772</v>
      </c>
      <c r="AA34" s="5">
        <f t="shared" si="19"/>
        <v>-28.479594707813163</v>
      </c>
      <c r="AB34" s="5">
        <f t="shared" si="20"/>
        <v>-132.67651179521133</v>
      </c>
      <c r="AC34" s="5">
        <f t="shared" si="26"/>
        <v>-31.301980755723761</v>
      </c>
      <c r="AD34" s="6">
        <f t="shared" si="27"/>
        <v>-176.4093313737992</v>
      </c>
    </row>
    <row r="35" spans="1:30">
      <c r="A35" s="4">
        <v>4.2</v>
      </c>
      <c r="B35" s="21">
        <f t="shared" si="21"/>
        <v>158489.31924611147</v>
      </c>
      <c r="C35" s="14">
        <f t="shared" si="0"/>
        <v>10.188826785532662</v>
      </c>
      <c r="D35" s="5">
        <f t="shared" si="1"/>
        <v>-71.975278257255638</v>
      </c>
      <c r="E35" s="5">
        <f t="shared" si="2"/>
        <v>-40.262813174831777</v>
      </c>
      <c r="F35" s="5">
        <f t="shared" si="3"/>
        <v>-89.444110095229647</v>
      </c>
      <c r="G35" s="5">
        <f t="shared" si="4"/>
        <v>0.17562785507409145</v>
      </c>
      <c r="H35" s="5">
        <f t="shared" si="5"/>
        <v>11.483192194881831</v>
      </c>
      <c r="I35" s="5">
        <f t="shared" si="6"/>
        <v>-3.7644741491402798E-5</v>
      </c>
      <c r="J35" s="17">
        <f t="shared" si="7"/>
        <v>-0.16868727500160768</v>
      </c>
      <c r="K35" s="14">
        <f t="shared" si="8"/>
        <v>-93.593849101839993</v>
      </c>
      <c r="L35" s="5">
        <f t="shared" si="9"/>
        <v>-89.998802073486047</v>
      </c>
      <c r="M35" s="5">
        <f t="shared" si="10"/>
        <v>34.99055601440692</v>
      </c>
      <c r="N35" s="5">
        <f t="shared" si="11"/>
        <v>88.979958659043916</v>
      </c>
      <c r="O35" s="5">
        <f t="shared" si="12"/>
        <v>-3.8928400027607992</v>
      </c>
      <c r="P35" s="17">
        <f t="shared" si="13"/>
        <v>-50.298360025310728</v>
      </c>
      <c r="Q35" s="5">
        <f t="shared" si="22"/>
        <v>-7.6339808562719016</v>
      </c>
      <c r="R35" s="5">
        <f t="shared" si="23"/>
        <v>-65.465461788190765</v>
      </c>
      <c r="S35" s="14">
        <f t="shared" si="14"/>
        <v>16.005427605745226</v>
      </c>
      <c r="T35" s="5">
        <f t="shared" si="15"/>
        <v>80.886523372699529</v>
      </c>
      <c r="U35" s="5">
        <f t="shared" si="16"/>
        <v>-22.940048345783467</v>
      </c>
      <c r="V35" s="17">
        <f t="shared" si="17"/>
        <v>-153.61649985867348</v>
      </c>
      <c r="W35" s="14">
        <v>0</v>
      </c>
      <c r="X35" s="17">
        <f t="shared" si="18"/>
        <v>-35.660096830375075</v>
      </c>
      <c r="Y35" s="14">
        <f t="shared" si="24"/>
        <v>-9.5835405384645175E-2</v>
      </c>
      <c r="Z35" s="17">
        <f t="shared" si="25"/>
        <v>-8.4956096281859264</v>
      </c>
      <c r="AA35" s="5">
        <f t="shared" si="19"/>
        <v>-32.153018892408042</v>
      </c>
      <c r="AB35" s="5">
        <f t="shared" si="20"/>
        <v>-153.47487157977289</v>
      </c>
      <c r="AC35" s="5">
        <f t="shared" si="26"/>
        <v>-36.045858895168841</v>
      </c>
      <c r="AD35" s="6">
        <f t="shared" si="27"/>
        <v>-203.77323160508362</v>
      </c>
    </row>
    <row r="36" spans="1:30">
      <c r="A36" s="4">
        <v>4.3</v>
      </c>
      <c r="B36" s="21">
        <f t="shared" si="21"/>
        <v>199526.23149688792</v>
      </c>
      <c r="C36" s="14">
        <f t="shared" si="0"/>
        <v>12.03259610798785</v>
      </c>
      <c r="D36" s="5">
        <f t="shared" si="1"/>
        <v>-75.50782631575342</v>
      </c>
      <c r="E36" s="5">
        <f t="shared" si="2"/>
        <v>-42.262662310315804</v>
      </c>
      <c r="F36" s="5">
        <f t="shared" si="3"/>
        <v>-89.558435840225158</v>
      </c>
      <c r="G36" s="5">
        <f t="shared" si="4"/>
        <v>0.27515290596678543</v>
      </c>
      <c r="H36" s="5">
        <f t="shared" si="5"/>
        <v>14.34571523326024</v>
      </c>
      <c r="I36" s="5">
        <f t="shared" si="6"/>
        <v>-5.9662743279975639E-5</v>
      </c>
      <c r="J36" s="17">
        <f t="shared" si="7"/>
        <v>-0.21236433826113701</v>
      </c>
      <c r="K36" s="14">
        <f t="shared" si="8"/>
        <v>-95.593849101139369</v>
      </c>
      <c r="L36" s="5">
        <f t="shared" si="9"/>
        <v>-89.999048453146798</v>
      </c>
      <c r="M36" s="5">
        <f t="shared" si="10"/>
        <v>36.990048053050359</v>
      </c>
      <c r="N36" s="5">
        <f t="shared" si="11"/>
        <v>89.189720771078555</v>
      </c>
      <c r="O36" s="5">
        <f t="shared" si="12"/>
        <v>-5.1840200222210919</v>
      </c>
      <c r="P36" s="17">
        <f t="shared" si="13"/>
        <v>-56.595052356076259</v>
      </c>
      <c r="Q36" s="5">
        <f t="shared" si="22"/>
        <v>-9.3484445148987092</v>
      </c>
      <c r="R36" s="5">
        <f t="shared" si="23"/>
        <v>-70.070638456918203</v>
      </c>
      <c r="S36" s="14">
        <f t="shared" si="14"/>
        <v>17.96503179374006</v>
      </c>
      <c r="T36" s="5">
        <f t="shared" si="15"/>
        <v>82.73836633410501</v>
      </c>
      <c r="U36" s="5">
        <f t="shared" si="16"/>
        <v>-26.829875453899746</v>
      </c>
      <c r="V36" s="17">
        <f t="shared" si="17"/>
        <v>-159.05404706684232</v>
      </c>
      <c r="W36" s="14">
        <v>0</v>
      </c>
      <c r="X36" s="17">
        <f t="shared" si="18"/>
        <v>-44.893402086799775</v>
      </c>
      <c r="Y36" s="14">
        <f t="shared" si="24"/>
        <v>-0.15092407031784399</v>
      </c>
      <c r="Z36" s="17">
        <f t="shared" si="25"/>
        <v>-10.65004171398151</v>
      </c>
      <c r="AA36" s="5">
        <f t="shared" si="19"/>
        <v>-35.909878876883354</v>
      </c>
      <c r="AB36" s="5">
        <f t="shared" si="20"/>
        <v>-173.67200193348449</v>
      </c>
      <c r="AC36" s="5">
        <f t="shared" si="26"/>
        <v>-41.093898899104445</v>
      </c>
      <c r="AD36" s="6">
        <f t="shared" si="27"/>
        <v>-230.26705428956075</v>
      </c>
    </row>
    <row r="37" spans="1:30">
      <c r="A37" s="4">
        <v>4.4000000000000004</v>
      </c>
      <c r="B37" s="21">
        <f t="shared" si="21"/>
        <v>251188.64315095858</v>
      </c>
      <c r="C37" s="14">
        <f t="shared" si="0"/>
        <v>13.93104872322359</v>
      </c>
      <c r="D37" s="5">
        <f t="shared" si="1"/>
        <v>-78.397747251427361</v>
      </c>
      <c r="E37" s="5">
        <f t="shared" si="2"/>
        <v>-44.262567118544879</v>
      </c>
      <c r="F37" s="5">
        <f t="shared" si="3"/>
        <v>-89.64925055778231</v>
      </c>
      <c r="G37" s="5">
        <f t="shared" si="4"/>
        <v>0.42836135517762214</v>
      </c>
      <c r="H37" s="5">
        <f t="shared" si="5"/>
        <v>17.846794394907555</v>
      </c>
      <c r="I37" s="5">
        <f t="shared" si="6"/>
        <v>-9.4558695772160411E-5</v>
      </c>
      <c r="J37" s="17">
        <f t="shared" si="7"/>
        <v>-0.2673501459323161</v>
      </c>
      <c r="K37" s="14">
        <f t="shared" si="8"/>
        <v>-97.593849100697341</v>
      </c>
      <c r="L37" s="5">
        <f t="shared" si="9"/>
        <v>-89.999244159467807</v>
      </c>
      <c r="M37" s="5">
        <f t="shared" si="10"/>
        <v>38.989727520529463</v>
      </c>
      <c r="N37" s="5">
        <f t="shared" si="11"/>
        <v>89.356356495531514</v>
      </c>
      <c r="O37" s="5">
        <f t="shared" si="12"/>
        <v>-6.6688346401112</v>
      </c>
      <c r="P37" s="17">
        <f t="shared" si="13"/>
        <v>-62.351692863206509</v>
      </c>
      <c r="Q37" s="5">
        <f t="shared" si="22"/>
        <v>-11.158118580733529</v>
      </c>
      <c r="R37" s="5">
        <f t="shared" si="23"/>
        <v>-73.933425333650433</v>
      </c>
      <c r="S37" s="14">
        <f t="shared" si="14"/>
        <v>19.93934906278151</v>
      </c>
      <c r="T37" s="5">
        <f t="shared" si="15"/>
        <v>84.220477918408861</v>
      </c>
      <c r="U37" s="5">
        <f t="shared" si="16"/>
        <v>-30.762118437456895</v>
      </c>
      <c r="V37" s="17">
        <f t="shared" si="17"/>
        <v>-163.37024958431945</v>
      </c>
      <c r="W37" s="14">
        <v>0</v>
      </c>
      <c r="X37" s="17">
        <f t="shared" si="18"/>
        <v>-56.517444708965684</v>
      </c>
      <c r="Y37" s="14">
        <f t="shared" si="24"/>
        <v>-0.23682710262829465</v>
      </c>
      <c r="Z37" s="17">
        <f t="shared" si="25"/>
        <v>-13.318976409682179</v>
      </c>
      <c r="AA37" s="5">
        <f t="shared" si="19"/>
        <v>-39.711980861358185</v>
      </c>
      <c r="AB37" s="5">
        <f t="shared" si="20"/>
        <v>-194.03005934237962</v>
      </c>
      <c r="AC37" s="5">
        <f t="shared" si="26"/>
        <v>-46.380815501469385</v>
      </c>
      <c r="AD37" s="6">
        <f t="shared" si="27"/>
        <v>-256.38175220558611</v>
      </c>
    </row>
    <row r="38" spans="1:30">
      <c r="A38" s="4">
        <v>4.5</v>
      </c>
      <c r="B38" s="21">
        <f t="shared" si="21"/>
        <v>316227.76601683837</v>
      </c>
      <c r="C38" s="14">
        <f t="shared" si="0"/>
        <v>15.865733006244746</v>
      </c>
      <c r="D38" s="5">
        <f t="shared" si="1"/>
        <v>-80.737476832054952</v>
      </c>
      <c r="E38" s="5">
        <f t="shared" si="2"/>
        <v>-46.262507055524281</v>
      </c>
      <c r="F38" s="5">
        <f t="shared" si="3"/>
        <v>-89.721388530329534</v>
      </c>
      <c r="G38" s="5">
        <f t="shared" si="4"/>
        <v>0.66062429140476608</v>
      </c>
      <c r="H38" s="5">
        <f t="shared" si="5"/>
        <v>22.06424801248987</v>
      </c>
      <c r="I38" s="5">
        <f t="shared" si="6"/>
        <v>-1.4986447897813893E-4</v>
      </c>
      <c r="J38" s="17">
        <f t="shared" si="7"/>
        <v>-0.33657246384439471</v>
      </c>
      <c r="K38" s="14">
        <f t="shared" si="8"/>
        <v>-99.593849100418424</v>
      </c>
      <c r="L38" s="5">
        <f t="shared" si="9"/>
        <v>-89.999399614524322</v>
      </c>
      <c r="M38" s="5">
        <f t="shared" si="10"/>
        <v>40.989525266008265</v>
      </c>
      <c r="N38" s="5">
        <f t="shared" si="11"/>
        <v>89.488727854468038</v>
      </c>
      <c r="O38" s="5">
        <f t="shared" si="12"/>
        <v>-8.309222835284519</v>
      </c>
      <c r="P38" s="17">
        <f t="shared" si="13"/>
        <v>-67.406931496754083</v>
      </c>
      <c r="Q38" s="5">
        <f t="shared" si="22"/>
        <v>-13.033592463019355</v>
      </c>
      <c r="R38" s="5">
        <f t="shared" si="23"/>
        <v>-77.114232996407623</v>
      </c>
      <c r="S38" s="14">
        <f t="shared" si="14"/>
        <v>21.923065858268874</v>
      </c>
      <c r="T38" s="5">
        <f t="shared" si="15"/>
        <v>85.403414923988436</v>
      </c>
      <c r="U38" s="5">
        <f t="shared" si="16"/>
        <v>-34.720111738301057</v>
      </c>
      <c r="V38" s="17">
        <f t="shared" si="17"/>
        <v>-166.79548318112037</v>
      </c>
      <c r="W38" s="14">
        <v>0</v>
      </c>
      <c r="X38" s="17">
        <f t="shared" si="18"/>
        <v>-71.151247353788634</v>
      </c>
      <c r="Y38" s="14">
        <f t="shared" si="24"/>
        <v>-0.36958658151584989</v>
      </c>
      <c r="Z38" s="17">
        <f t="shared" si="25"/>
        <v>-16.596037696673623</v>
      </c>
      <c r="AA38" s="5">
        <f t="shared" si="19"/>
        <v>-43.527741005644955</v>
      </c>
      <c r="AB38" s="5">
        <f t="shared" si="20"/>
        <v>-215.49544787779709</v>
      </c>
      <c r="AC38" s="5">
        <f t="shared" si="26"/>
        <v>-51.836963840929471</v>
      </c>
      <c r="AD38" s="6">
        <f t="shared" si="27"/>
        <v>-282.90237937455117</v>
      </c>
    </row>
    <row r="39" spans="1:30">
      <c r="A39" s="4">
        <v>4.5999999999999996</v>
      </c>
      <c r="B39" s="21">
        <f t="shared" si="21"/>
        <v>398107.17055349739</v>
      </c>
      <c r="C39" s="14">
        <f t="shared" si="0"/>
        <v>17.824010341280069</v>
      </c>
      <c r="D39" s="5">
        <f t="shared" si="1"/>
        <v>-82.618849893809724</v>
      </c>
      <c r="E39" s="5">
        <f t="shared" si="2"/>
        <v>-48.26246915789288</v>
      </c>
      <c r="F39" s="5">
        <f t="shared" si="3"/>
        <v>-89.778690399387543</v>
      </c>
      <c r="G39" s="5">
        <f t="shared" si="4"/>
        <v>1.0050407490130877</v>
      </c>
      <c r="H39" s="5">
        <f t="shared" si="5"/>
        <v>27.034391060970574</v>
      </c>
      <c r="I39" s="5">
        <f t="shared" si="6"/>
        <v>-2.375167956273908E-4</v>
      </c>
      <c r="J39" s="17">
        <f t="shared" si="7"/>
        <v>-0.42371677703563893</v>
      </c>
      <c r="K39" s="14">
        <f t="shared" si="8"/>
        <v>-101.59384910024244</v>
      </c>
      <c r="L39" s="5">
        <f t="shared" si="9"/>
        <v>-89.999523096864948</v>
      </c>
      <c r="M39" s="5">
        <f t="shared" si="10"/>
        <v>42.989397647186024</v>
      </c>
      <c r="N39" s="5">
        <f t="shared" si="11"/>
        <v>89.593878121153864</v>
      </c>
      <c r="O39" s="5">
        <f t="shared" si="12"/>
        <v>-10.065977744572978</v>
      </c>
      <c r="P39" s="17">
        <f t="shared" si="13"/>
        <v>-71.709513347050262</v>
      </c>
      <c r="Q39" s="5">
        <f t="shared" si="22"/>
        <v>-14.953143982365336</v>
      </c>
      <c r="R39" s="5">
        <f t="shared" si="23"/>
        <v>-79.700721489836283</v>
      </c>
      <c r="S39" s="14">
        <f t="shared" si="14"/>
        <v>23.91276034882257</v>
      </c>
      <c r="T39" s="5">
        <f t="shared" si="15"/>
        <v>86.345911509455334</v>
      </c>
      <c r="U39" s="5">
        <f t="shared" si="16"/>
        <v>-38.693915526515504</v>
      </c>
      <c r="V39" s="17">
        <f t="shared" si="17"/>
        <v>-169.51404065879697</v>
      </c>
      <c r="W39" s="14">
        <v>0</v>
      </c>
      <c r="X39" s="17">
        <f t="shared" si="18"/>
        <v>-89.574113374536907</v>
      </c>
      <c r="Y39" s="14">
        <f t="shared" si="24"/>
        <v>-0.57202058266375577</v>
      </c>
      <c r="Z39" s="17">
        <f t="shared" si="25"/>
        <v>-20.566450991810179</v>
      </c>
      <c r="AA39" s="5">
        <f t="shared" si="19"/>
        <v>-47.331319404487445</v>
      </c>
      <c r="AB39" s="5">
        <f t="shared" si="20"/>
        <v>-239.20192599049844</v>
      </c>
      <c r="AC39" s="5">
        <f t="shared" si="26"/>
        <v>-57.397297149060421</v>
      </c>
      <c r="AD39" s="6">
        <f t="shared" si="27"/>
        <v>-310.9114393375487</v>
      </c>
    </row>
    <row r="40" spans="1:30">
      <c r="A40" s="4">
        <v>4.7</v>
      </c>
      <c r="B40" s="21">
        <f t="shared" si="21"/>
        <v>501187.23362727294</v>
      </c>
      <c r="C40" s="14">
        <f t="shared" si="0"/>
        <v>19.797477374286974</v>
      </c>
      <c r="D40" s="5">
        <f t="shared" si="1"/>
        <v>-84.124970232918017</v>
      </c>
      <c r="E40" s="5">
        <f t="shared" si="2"/>
        <v>-50.262445245933868</v>
      </c>
      <c r="F40" s="5">
        <f t="shared" si="3"/>
        <v>-89.824207212983367</v>
      </c>
      <c r="G40" s="5">
        <f t="shared" si="4"/>
        <v>1.5004573924473186</v>
      </c>
      <c r="H40" s="5">
        <f t="shared" si="5"/>
        <v>32.716959378423091</v>
      </c>
      <c r="I40" s="5">
        <f t="shared" si="6"/>
        <v>-3.7643273196981869E-4</v>
      </c>
      <c r="J40" s="17">
        <f t="shared" si="7"/>
        <v>-0.53342213048052067</v>
      </c>
      <c r="K40" s="14">
        <f t="shared" si="8"/>
        <v>-103.59384910013141</v>
      </c>
      <c r="L40" s="5">
        <f t="shared" si="9"/>
        <v>-89.999621182374597</v>
      </c>
      <c r="M40" s="5">
        <f t="shared" si="10"/>
        <v>44.989317123223252</v>
      </c>
      <c r="N40" s="5">
        <f t="shared" si="11"/>
        <v>89.677403931102035</v>
      </c>
      <c r="O40" s="5">
        <f t="shared" si="12"/>
        <v>-11.90518066696368</v>
      </c>
      <c r="P40" s="17">
        <f t="shared" si="13"/>
        <v>-75.288874512392368</v>
      </c>
      <c r="Q40" s="5">
        <f t="shared" si="22"/>
        <v>-16.901606785745479</v>
      </c>
      <c r="R40" s="5">
        <f t="shared" si="23"/>
        <v>-81.786452230016096</v>
      </c>
      <c r="S40" s="14">
        <f t="shared" si="14"/>
        <v>25.906245406886388</v>
      </c>
      <c r="T40" s="5">
        <f t="shared" si="15"/>
        <v>87.096001944354953</v>
      </c>
      <c r="U40" s="5">
        <f t="shared" si="16"/>
        <v>-42.677512479029041</v>
      </c>
      <c r="V40" s="17">
        <f t="shared" si="17"/>
        <v>-171.67217787651157</v>
      </c>
      <c r="W40" s="14">
        <v>0</v>
      </c>
      <c r="X40" s="17">
        <f t="shared" si="18"/>
        <v>-90</v>
      </c>
      <c r="Y40" s="14">
        <f t="shared" si="24"/>
        <v>-0.87469752374367771</v>
      </c>
      <c r="Z40" s="17">
        <f t="shared" si="25"/>
        <v>-25.284075402004209</v>
      </c>
      <c r="AA40" s="5">
        <f t="shared" si="19"/>
        <v>-51.103882894785158</v>
      </c>
      <c r="AB40" s="5">
        <f t="shared" si="20"/>
        <v>-243.7345610134083</v>
      </c>
      <c r="AC40" s="5">
        <f t="shared" si="26"/>
        <v>-63.009063561748839</v>
      </c>
      <c r="AD40" s="6">
        <f t="shared" si="27"/>
        <v>-319.02343552580066</v>
      </c>
    </row>
    <row r="41" spans="1:30">
      <c r="A41" s="4">
        <v>4.8</v>
      </c>
      <c r="B41" s="21">
        <f t="shared" si="21"/>
        <v>630957.34448019345</v>
      </c>
      <c r="C41" s="14">
        <f t="shared" si="0"/>
        <v>21.780652411315611</v>
      </c>
      <c r="D41" s="5">
        <f t="shared" si="1"/>
        <v>-85.327260759845785</v>
      </c>
      <c r="E41" s="5">
        <f t="shared" si="2"/>
        <v>-52.262430158439955</v>
      </c>
      <c r="F41" s="5">
        <f t="shared" si="3"/>
        <v>-89.860362664110596</v>
      </c>
      <c r="G41" s="5">
        <f t="shared" si="4"/>
        <v>2.185522405350607</v>
      </c>
      <c r="H41" s="5">
        <f t="shared" si="5"/>
        <v>38.963925432843808</v>
      </c>
      <c r="I41" s="5">
        <f t="shared" si="6"/>
        <v>-5.965905522982175E-4</v>
      </c>
      <c r="J41" s="17">
        <f t="shared" si="7"/>
        <v>-0.67152732771765922</v>
      </c>
      <c r="K41" s="14">
        <f t="shared" si="8"/>
        <v>-105.59384910006132</v>
      </c>
      <c r="L41" s="5">
        <f t="shared" si="9"/>
        <v>-89.999699094464319</v>
      </c>
      <c r="M41" s="5">
        <f t="shared" si="10"/>
        <v>46.989266315269298</v>
      </c>
      <c r="N41" s="5">
        <f t="shared" si="11"/>
        <v>89.743751834782458</v>
      </c>
      <c r="O41" s="5">
        <f t="shared" si="12"/>
        <v>-13.800573199955208</v>
      </c>
      <c r="P41" s="17">
        <f t="shared" si="13"/>
        <v>-78.21965053540174</v>
      </c>
      <c r="Q41" s="5">
        <f t="shared" si="22"/>
        <v>-18.868771490191396</v>
      </c>
      <c r="R41" s="5">
        <f t="shared" si="23"/>
        <v>-83.459246928609076</v>
      </c>
      <c r="S41" s="14">
        <f t="shared" si="14"/>
        <v>27.902129722101808</v>
      </c>
      <c r="T41" s="5">
        <f t="shared" si="15"/>
        <v>87.692543358697279</v>
      </c>
      <c r="U41" s="5">
        <f t="shared" si="16"/>
        <v>-46.667213617662568</v>
      </c>
      <c r="V41" s="17">
        <f t="shared" si="17"/>
        <v>-173.38574112960876</v>
      </c>
      <c r="W41" s="14">
        <v>0</v>
      </c>
      <c r="X41" s="17">
        <f t="shared" si="18"/>
        <v>-90</v>
      </c>
      <c r="Y41" s="14">
        <f t="shared" si="24"/>
        <v>-1.3149818237897504</v>
      </c>
      <c r="Z41" s="17">
        <f t="shared" si="25"/>
        <v>-30.738395398521529</v>
      </c>
      <c r="AA41" s="5">
        <f t="shared" si="19"/>
        <v>-54.837164550973625</v>
      </c>
      <c r="AB41" s="5">
        <f t="shared" si="20"/>
        <v>-247.04201267655418</v>
      </c>
      <c r="AC41" s="5">
        <f t="shared" si="26"/>
        <v>-68.637737750928835</v>
      </c>
      <c r="AD41" s="6">
        <f t="shared" si="27"/>
        <v>-325.26166321195592</v>
      </c>
    </row>
    <row r="42" spans="1:30">
      <c r="A42" s="4">
        <v>4.9000000000000004</v>
      </c>
      <c r="B42" s="21">
        <f t="shared" si="21"/>
        <v>794328.2347242824</v>
      </c>
      <c r="C42" s="14">
        <f t="shared" si="0"/>
        <v>23.770002941142163</v>
      </c>
      <c r="D42" s="5">
        <f t="shared" si="1"/>
        <v>-86.285273999642868</v>
      </c>
      <c r="E42" s="5">
        <f t="shared" si="2"/>
        <v>-54.2624206388479</v>
      </c>
      <c r="F42" s="5">
        <f t="shared" si="3"/>
        <v>-89.88908204043851</v>
      </c>
      <c r="G42" s="5">
        <f t="shared" si="4"/>
        <v>3.0891025266202461</v>
      </c>
      <c r="H42" s="5">
        <f t="shared" si="5"/>
        <v>45.515155026974305</v>
      </c>
      <c r="I42" s="5">
        <f t="shared" si="6"/>
        <v>-9.4549432354649608E-4</v>
      </c>
      <c r="J42" s="17">
        <f t="shared" si="7"/>
        <v>-0.84538017800382637</v>
      </c>
      <c r="K42" s="14">
        <f t="shared" si="8"/>
        <v>-107.59384910001714</v>
      </c>
      <c r="L42" s="5">
        <f t="shared" si="9"/>
        <v>-89.999760982237035</v>
      </c>
      <c r="M42" s="5">
        <f t="shared" si="10"/>
        <v>48.989234257311765</v>
      </c>
      <c r="N42" s="5">
        <f t="shared" si="11"/>
        <v>89.796454346438892</v>
      </c>
      <c r="O42" s="5">
        <f t="shared" si="12"/>
        <v>-15.733249903268336</v>
      </c>
      <c r="P42" s="17">
        <f t="shared" si="13"/>
        <v>-80.593832789890712</v>
      </c>
      <c r="Q42" s="5">
        <f t="shared" si="22"/>
        <v>-20.847925351687017</v>
      </c>
      <c r="R42" s="5">
        <f t="shared" si="23"/>
        <v>-84.796163864600402</v>
      </c>
      <c r="S42" s="14">
        <f t="shared" si="14"/>
        <v>29.89953089228554</v>
      </c>
      <c r="T42" s="5">
        <f t="shared" si="15"/>
        <v>88.166756338743042</v>
      </c>
      <c r="U42" s="5">
        <f t="shared" si="16"/>
        <v>-50.660735871017167</v>
      </c>
      <c r="V42" s="17">
        <f t="shared" si="17"/>
        <v>-174.74649989021069</v>
      </c>
      <c r="W42" s="14">
        <v>0</v>
      </c>
      <c r="X42" s="17">
        <f t="shared" si="18"/>
        <v>-90</v>
      </c>
      <c r="Y42" s="14">
        <f t="shared" si="24"/>
        <v>-1.9325179030433333</v>
      </c>
      <c r="Z42" s="17">
        <f t="shared" si="25"/>
        <v>-36.819874550601085</v>
      </c>
      <c r="AA42" s="5">
        <f t="shared" si="19"/>
        <v>-58.537416365890031</v>
      </c>
      <c r="AB42" s="5">
        <f t="shared" si="20"/>
        <v>-249.90366979357816</v>
      </c>
      <c r="AC42" s="5">
        <f t="shared" si="26"/>
        <v>-74.270666269158369</v>
      </c>
      <c r="AD42" s="6">
        <f t="shared" si="27"/>
        <v>-330.49750258346887</v>
      </c>
    </row>
    <row r="43" spans="1:30" ht="13.8" thickBot="1">
      <c r="A43" s="9">
        <v>5</v>
      </c>
      <c r="B43" s="23">
        <f t="shared" si="21"/>
        <v>1000000</v>
      </c>
      <c r="C43" s="15">
        <f t="shared" si="0"/>
        <v>25.763270118388668</v>
      </c>
      <c r="D43" s="10">
        <f t="shared" si="1"/>
        <v>-87.047762342313135</v>
      </c>
      <c r="E43" s="10">
        <f t="shared" si="2"/>
        <v>-56.262414632380626</v>
      </c>
      <c r="F43" s="10">
        <f t="shared" si="3"/>
        <v>-89.911894692364569</v>
      </c>
      <c r="G43" s="10">
        <f t="shared" si="4"/>
        <v>4.2208628953407148</v>
      </c>
      <c r="H43" s="10">
        <f t="shared" si="5"/>
        <v>52.039667806951918</v>
      </c>
      <c r="I43" s="10">
        <f t="shared" si="6"/>
        <v>-1.4984121249473135E-3</v>
      </c>
      <c r="J43" s="18">
        <f t="shared" si="7"/>
        <v>-1.0642254224546979</v>
      </c>
      <c r="K43" s="15">
        <f t="shared" si="8"/>
        <v>-109.59384909998923</v>
      </c>
      <c r="L43" s="10">
        <f t="shared" si="9"/>
        <v>-89.999810141442268</v>
      </c>
      <c r="M43" s="10">
        <f t="shared" si="10"/>
        <v>50.989214029986236</v>
      </c>
      <c r="N43" s="10">
        <f t="shared" si="11"/>
        <v>89.838317689308312</v>
      </c>
      <c r="O43" s="10">
        <f t="shared" si="12"/>
        <v>-17.69022843927036</v>
      </c>
      <c r="P43" s="18">
        <f t="shared" si="13"/>
        <v>-82.503630745152364</v>
      </c>
      <c r="Q43" s="10">
        <f t="shared" si="22"/>
        <v>-22.834720655594815</v>
      </c>
      <c r="R43" s="10">
        <f t="shared" si="23"/>
        <v>-85.862250788822308</v>
      </c>
      <c r="S43" s="15">
        <f t="shared" si="14"/>
        <v>31.897890340991559</v>
      </c>
      <c r="T43" s="10">
        <f t="shared" si="15"/>
        <v>88.543619406840008</v>
      </c>
      <c r="U43" s="10">
        <f t="shared" si="16"/>
        <v>-54.656656855847466</v>
      </c>
      <c r="V43" s="18">
        <f t="shared" si="17"/>
        <v>-175.82719604099398</v>
      </c>
      <c r="W43" s="15">
        <v>0</v>
      </c>
      <c r="X43" s="18">
        <f t="shared" si="18"/>
        <v>-90</v>
      </c>
      <c r="Y43" s="15">
        <f t="shared" si="24"/>
        <v>-2.7606280443612299</v>
      </c>
      <c r="Z43" s="18">
        <f t="shared" si="25"/>
        <v>-43.303807307170665</v>
      </c>
      <c r="AA43" s="5">
        <f t="shared" si="19"/>
        <v>-62.225422939904774</v>
      </c>
      <c r="AB43" s="10">
        <f t="shared" si="20"/>
        <v>-252.5953418324614</v>
      </c>
      <c r="AC43" s="10">
        <f t="shared" si="26"/>
        <v>-79.915651379175131</v>
      </c>
      <c r="AD43" s="19">
        <f t="shared" si="27"/>
        <v>-335.09897257761378</v>
      </c>
    </row>
    <row r="44" spans="1:30" ht="13.8" thickTop="1"/>
  </sheetData>
  <customSheetViews>
    <customSheetView guid="{0F8159A6-236F-4F54-A569-A835A6AD5DA8}" scale="70" state="hidden" topLeftCell="D1">
      <selection activeCell="J47" sqref="J47"/>
      <pageMargins left="0.7" right="0.7" top="0.75" bottom="0.75" header="0.3" footer="0.3"/>
      <pageSetup paperSize="9" orientation="portrait" horizontalDpi="300" verticalDpi="300" r:id="rId1"/>
    </customSheetView>
  </customSheetViews>
  <mergeCells count="7">
    <mergeCell ref="C1:J1"/>
    <mergeCell ref="K1:P1"/>
    <mergeCell ref="AA1:AD1"/>
    <mergeCell ref="A1:B1"/>
    <mergeCell ref="Q1:R1"/>
    <mergeCell ref="Y1:Z1"/>
    <mergeCell ref="S1:X1"/>
  </mergeCells>
  <pageMargins left="0.7" right="0.7" top="0.75" bottom="0.75" header="0.3" footer="0.3"/>
  <pageSetup paperSize="9" orientation="portrait" horizontalDpi="300" verticalDpi="3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9"/>
  <sheetViews>
    <sheetView workbookViewId="0">
      <selection activeCell="A31" sqref="A31"/>
    </sheetView>
  </sheetViews>
  <sheetFormatPr defaultRowHeight="13.2"/>
  <cols>
    <col min="1" max="1" width="128" customWidth="1"/>
    <col min="2" max="2" width="13.6640625" customWidth="1"/>
    <col min="257" max="257" width="128" customWidth="1"/>
    <col min="258" max="258" width="13.6640625" customWidth="1"/>
    <col min="513" max="513" width="128" customWidth="1"/>
    <col min="514" max="514" width="13.6640625" customWidth="1"/>
    <col min="769" max="769" width="128" customWidth="1"/>
    <col min="770" max="770" width="13.6640625" customWidth="1"/>
    <col min="1025" max="1025" width="128" customWidth="1"/>
    <col min="1026" max="1026" width="13.6640625" customWidth="1"/>
    <col min="1281" max="1281" width="128" customWidth="1"/>
    <col min="1282" max="1282" width="13.6640625" customWidth="1"/>
    <col min="1537" max="1537" width="128" customWidth="1"/>
    <col min="1538" max="1538" width="13.6640625" customWidth="1"/>
    <col min="1793" max="1793" width="128" customWidth="1"/>
    <col min="1794" max="1794" width="13.6640625" customWidth="1"/>
    <col min="2049" max="2049" width="128" customWidth="1"/>
    <col min="2050" max="2050" width="13.6640625" customWidth="1"/>
    <col min="2305" max="2305" width="128" customWidth="1"/>
    <col min="2306" max="2306" width="13.6640625" customWidth="1"/>
    <col min="2561" max="2561" width="128" customWidth="1"/>
    <col min="2562" max="2562" width="13.6640625" customWidth="1"/>
    <col min="2817" max="2817" width="128" customWidth="1"/>
    <col min="2818" max="2818" width="13.6640625" customWidth="1"/>
    <col min="3073" max="3073" width="128" customWidth="1"/>
    <col min="3074" max="3074" width="13.6640625" customWidth="1"/>
    <col min="3329" max="3329" width="128" customWidth="1"/>
    <col min="3330" max="3330" width="13.6640625" customWidth="1"/>
    <col min="3585" max="3585" width="128" customWidth="1"/>
    <col min="3586" max="3586" width="13.6640625" customWidth="1"/>
    <col min="3841" max="3841" width="128" customWidth="1"/>
    <col min="3842" max="3842" width="13.6640625" customWidth="1"/>
    <col min="4097" max="4097" width="128" customWidth="1"/>
    <col min="4098" max="4098" width="13.6640625" customWidth="1"/>
    <col min="4353" max="4353" width="128" customWidth="1"/>
    <col min="4354" max="4354" width="13.6640625" customWidth="1"/>
    <col min="4609" max="4609" width="128" customWidth="1"/>
    <col min="4610" max="4610" width="13.6640625" customWidth="1"/>
    <col min="4865" max="4865" width="128" customWidth="1"/>
    <col min="4866" max="4866" width="13.6640625" customWidth="1"/>
    <col min="5121" max="5121" width="128" customWidth="1"/>
    <col min="5122" max="5122" width="13.6640625" customWidth="1"/>
    <col min="5377" max="5377" width="128" customWidth="1"/>
    <col min="5378" max="5378" width="13.6640625" customWidth="1"/>
    <col min="5633" max="5633" width="128" customWidth="1"/>
    <col min="5634" max="5634" width="13.6640625" customWidth="1"/>
    <col min="5889" max="5889" width="128" customWidth="1"/>
    <col min="5890" max="5890" width="13.6640625" customWidth="1"/>
    <col min="6145" max="6145" width="128" customWidth="1"/>
    <col min="6146" max="6146" width="13.6640625" customWidth="1"/>
    <col min="6401" max="6401" width="128" customWidth="1"/>
    <col min="6402" max="6402" width="13.6640625" customWidth="1"/>
    <col min="6657" max="6657" width="128" customWidth="1"/>
    <col min="6658" max="6658" width="13.6640625" customWidth="1"/>
    <col min="6913" max="6913" width="128" customWidth="1"/>
    <col min="6914" max="6914" width="13.6640625" customWidth="1"/>
    <col min="7169" max="7169" width="128" customWidth="1"/>
    <col min="7170" max="7170" width="13.6640625" customWidth="1"/>
    <col min="7425" max="7425" width="128" customWidth="1"/>
    <col min="7426" max="7426" width="13.6640625" customWidth="1"/>
    <col min="7681" max="7681" width="128" customWidth="1"/>
    <col min="7682" max="7682" width="13.6640625" customWidth="1"/>
    <col min="7937" max="7937" width="128" customWidth="1"/>
    <col min="7938" max="7938" width="13.6640625" customWidth="1"/>
    <col min="8193" max="8193" width="128" customWidth="1"/>
    <col min="8194" max="8194" width="13.6640625" customWidth="1"/>
    <col min="8449" max="8449" width="128" customWidth="1"/>
    <col min="8450" max="8450" width="13.6640625" customWidth="1"/>
    <col min="8705" max="8705" width="128" customWidth="1"/>
    <col min="8706" max="8706" width="13.6640625" customWidth="1"/>
    <col min="8961" max="8961" width="128" customWidth="1"/>
    <col min="8962" max="8962" width="13.6640625" customWidth="1"/>
    <col min="9217" max="9217" width="128" customWidth="1"/>
    <col min="9218" max="9218" width="13.6640625" customWidth="1"/>
    <col min="9473" max="9473" width="128" customWidth="1"/>
    <col min="9474" max="9474" width="13.6640625" customWidth="1"/>
    <col min="9729" max="9729" width="128" customWidth="1"/>
    <col min="9730" max="9730" width="13.6640625" customWidth="1"/>
    <col min="9985" max="9985" width="128" customWidth="1"/>
    <col min="9986" max="9986" width="13.6640625" customWidth="1"/>
    <col min="10241" max="10241" width="128" customWidth="1"/>
    <col min="10242" max="10242" width="13.6640625" customWidth="1"/>
    <col min="10497" max="10497" width="128" customWidth="1"/>
    <col min="10498" max="10498" width="13.6640625" customWidth="1"/>
    <col min="10753" max="10753" width="128" customWidth="1"/>
    <col min="10754" max="10754" width="13.6640625" customWidth="1"/>
    <col min="11009" max="11009" width="128" customWidth="1"/>
    <col min="11010" max="11010" width="13.6640625" customWidth="1"/>
    <col min="11265" max="11265" width="128" customWidth="1"/>
    <col min="11266" max="11266" width="13.6640625" customWidth="1"/>
    <col min="11521" max="11521" width="128" customWidth="1"/>
    <col min="11522" max="11522" width="13.6640625" customWidth="1"/>
    <col min="11777" max="11777" width="128" customWidth="1"/>
    <col min="11778" max="11778" width="13.6640625" customWidth="1"/>
    <col min="12033" max="12033" width="128" customWidth="1"/>
    <col min="12034" max="12034" width="13.6640625" customWidth="1"/>
    <col min="12289" max="12289" width="128" customWidth="1"/>
    <col min="12290" max="12290" width="13.6640625" customWidth="1"/>
    <col min="12545" max="12545" width="128" customWidth="1"/>
    <col min="12546" max="12546" width="13.6640625" customWidth="1"/>
    <col min="12801" max="12801" width="128" customWidth="1"/>
    <col min="12802" max="12802" width="13.6640625" customWidth="1"/>
    <col min="13057" max="13057" width="128" customWidth="1"/>
    <col min="13058" max="13058" width="13.6640625" customWidth="1"/>
    <col min="13313" max="13313" width="128" customWidth="1"/>
    <col min="13314" max="13314" width="13.6640625" customWidth="1"/>
    <col min="13569" max="13569" width="128" customWidth="1"/>
    <col min="13570" max="13570" width="13.6640625" customWidth="1"/>
    <col min="13825" max="13825" width="128" customWidth="1"/>
    <col min="13826" max="13826" width="13.6640625" customWidth="1"/>
    <col min="14081" max="14081" width="128" customWidth="1"/>
    <col min="14082" max="14082" width="13.6640625" customWidth="1"/>
    <col min="14337" max="14337" width="128" customWidth="1"/>
    <col min="14338" max="14338" width="13.6640625" customWidth="1"/>
    <col min="14593" max="14593" width="128" customWidth="1"/>
    <col min="14594" max="14594" width="13.6640625" customWidth="1"/>
    <col min="14849" max="14849" width="128" customWidth="1"/>
    <col min="14850" max="14850" width="13.6640625" customWidth="1"/>
    <col min="15105" max="15105" width="128" customWidth="1"/>
    <col min="15106" max="15106" width="13.6640625" customWidth="1"/>
    <col min="15361" max="15361" width="128" customWidth="1"/>
    <col min="15362" max="15362" width="13.6640625" customWidth="1"/>
    <col min="15617" max="15617" width="128" customWidth="1"/>
    <col min="15618" max="15618" width="13.6640625" customWidth="1"/>
    <col min="15873" max="15873" width="128" customWidth="1"/>
    <col min="15874" max="15874" width="13.6640625" customWidth="1"/>
    <col min="16129" max="16129" width="128" customWidth="1"/>
    <col min="16130" max="16130" width="13.6640625" customWidth="1"/>
  </cols>
  <sheetData>
    <row r="1" spans="1:1" ht="66">
      <c r="A1" s="27" t="s">
        <v>176</v>
      </c>
    </row>
    <row r="2" spans="1:1">
      <c r="A2" s="28"/>
    </row>
    <row r="3" spans="1:1" ht="79.2">
      <c r="A3" s="27" t="s">
        <v>177</v>
      </c>
    </row>
    <row r="4" spans="1:1">
      <c r="A4" s="28"/>
    </row>
    <row r="5" spans="1:1" ht="52.8">
      <c r="A5" s="27" t="s">
        <v>178</v>
      </c>
    </row>
    <row r="6" spans="1:1">
      <c r="A6" s="28"/>
    </row>
    <row r="7" spans="1:1" ht="79.2">
      <c r="A7" s="27" t="s">
        <v>179</v>
      </c>
    </row>
    <row r="8" spans="1:1">
      <c r="A8" s="28"/>
    </row>
    <row r="9" spans="1:1">
      <c r="A9" s="27" t="s">
        <v>222</v>
      </c>
    </row>
  </sheetData>
  <customSheetViews>
    <customSheetView guid="{0F8159A6-236F-4F54-A569-A835A6AD5DA8}">
      <selection activeCell="A10" sqref="A10"/>
      <pageMargins left="0.7" right="0.7" top="0.75" bottom="0.75" header="0.3" footer="0.3"/>
      <pageSetup paperSize="9" orientation="portrait" horizontalDpi="300" verticalDpi="300" r:id="rId1"/>
    </customSheetView>
  </customSheetViews>
  <pageMargins left="0.7" right="0.7" top="0.75" bottom="0.75" header="0.3" footer="0.3"/>
  <pageSetup paperSize="9" orientation="portrait" horizontalDpi="300" verticalDpi="3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66</vt:i4>
      </vt:variant>
    </vt:vector>
  </HeadingPairs>
  <TitlesOfParts>
    <vt:vector size="69" baseType="lpstr">
      <vt:lpstr>Design Calculation</vt:lpstr>
      <vt:lpstr>Frequency Response Calculation</vt:lpstr>
      <vt:lpstr>LegalDisclaimer</vt:lpstr>
      <vt:lpstr>BST_HS_dead_time</vt:lpstr>
      <vt:lpstr>BST_HS_Rdson</vt:lpstr>
      <vt:lpstr>BST_HS_Vd</vt:lpstr>
      <vt:lpstr>BST_LS_fall_time</vt:lpstr>
      <vt:lpstr>BST_LS_Rdson</vt:lpstr>
      <vt:lpstr>BST_LS_rise_time</vt:lpstr>
      <vt:lpstr>BUCK_HS_Coss</vt:lpstr>
      <vt:lpstr>BUCK_HS_fall_time</vt:lpstr>
      <vt:lpstr>BUCK_HS_Qg</vt:lpstr>
      <vt:lpstr>BUCK_HS_Rdson</vt:lpstr>
      <vt:lpstr>BUCK_HS_rise_time</vt:lpstr>
      <vt:lpstr>BUCK_LS_dead_time</vt:lpstr>
      <vt:lpstr>BUCK_LS_deadtime</vt:lpstr>
      <vt:lpstr>BUCK_LS_Qg</vt:lpstr>
      <vt:lpstr>BUCK_LS_Qrr</vt:lpstr>
      <vt:lpstr>BUCK_LS_Rdson</vt:lpstr>
      <vt:lpstr>BUCK_LS_Vd</vt:lpstr>
      <vt:lpstr>C_bst_snubber</vt:lpstr>
      <vt:lpstr>C_buck_snubber</vt:lpstr>
      <vt:lpstr>C_ca</vt:lpstr>
      <vt:lpstr>Ccomp</vt:lpstr>
      <vt:lpstr>Cout_c</vt:lpstr>
      <vt:lpstr>Cout_e</vt:lpstr>
      <vt:lpstr>Cp</vt:lpstr>
      <vt:lpstr>DCR</vt:lpstr>
      <vt:lpstr>dVinpkpk</vt:lpstr>
      <vt:lpstr>dVoutpkpk</vt:lpstr>
      <vt:lpstr>eff</vt:lpstr>
      <vt:lpstr>ESR</vt:lpstr>
      <vt:lpstr>fco</vt:lpstr>
      <vt:lpstr>fp</vt:lpstr>
      <vt:lpstr>fp_comp2</vt:lpstr>
      <vt:lpstr>fsw</vt:lpstr>
      <vt:lpstr>fz_comp</vt:lpstr>
      <vt:lpstr>fz_ESR</vt:lpstr>
      <vt:lpstr>fzRHP</vt:lpstr>
      <vt:lpstr>gm_ca</vt:lpstr>
      <vt:lpstr>gm_EA</vt:lpstr>
      <vt:lpstr>gm_PS</vt:lpstr>
      <vt:lpstr>Iavg_limit</vt:lpstr>
      <vt:lpstr>ILpeak</vt:lpstr>
      <vt:lpstr>ILpeak_max</vt:lpstr>
      <vt:lpstr>ILrms</vt:lpstr>
      <vt:lpstr>ILrms_max</vt:lpstr>
      <vt:lpstr>ILvalley</vt:lpstr>
      <vt:lpstr>ILvalley_max</vt:lpstr>
      <vt:lpstr>Iout_limit</vt:lpstr>
      <vt:lpstr>Ioutmax</vt:lpstr>
      <vt:lpstr>K</vt:lpstr>
      <vt:lpstr>L</vt:lpstr>
      <vt:lpstr>Op_mode</vt:lpstr>
      <vt:lpstr>R_1</vt:lpstr>
      <vt:lpstr>R_5</vt:lpstr>
      <vt:lpstr>R_7</vt:lpstr>
      <vt:lpstr>R_ca</vt:lpstr>
      <vt:lpstr>Rcomp</vt:lpstr>
      <vt:lpstr>Rpcb</vt:lpstr>
      <vt:lpstr>tou</vt:lpstr>
      <vt:lpstr>V_m</vt:lpstr>
      <vt:lpstr>Vin</vt:lpstr>
      <vt:lpstr>Vin_eff</vt:lpstr>
      <vt:lpstr>Vin_LP</vt:lpstr>
      <vt:lpstr>Vin_max</vt:lpstr>
      <vt:lpstr>Vin_min</vt:lpstr>
      <vt:lpstr>Vout</vt:lpstr>
      <vt:lpstr>Vout_LP</vt:lpstr>
    </vt:vector>
  </TitlesOfParts>
  <Company>Texas Instruments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a0216859</dc:creator>
  <cp:lastModifiedBy>Liu, Zack</cp:lastModifiedBy>
  <dcterms:created xsi:type="dcterms:W3CDTF">2011-04-19T20:45:42Z</dcterms:created>
  <dcterms:modified xsi:type="dcterms:W3CDTF">2023-08-02T00:59:31Z</dcterms:modified>
</cp:coreProperties>
</file>