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defaultThemeVersion="124226"/>
  <mc:AlternateContent xmlns:mc="http://schemas.openxmlformats.org/markup-compatibility/2006">
    <mc:Choice Requires="x15">
      <x15ac:absPath xmlns:x15ac="http://schemas.microsoft.com/office/spreadsheetml/2010/11/ac" url="E:\Users\Alex\Documents\Electronics Projects\Modular Audio\design_simulations\TPS552892\"/>
    </mc:Choice>
  </mc:AlternateContent>
  <xr:revisionPtr revIDLastSave="0" documentId="13_ncr:1_{96047C16-277D-4DCF-BDDF-64B579D90496}" xr6:coauthVersionLast="47" xr6:coauthVersionMax="47" xr10:uidLastSave="{00000000-0000-0000-0000-000000000000}"/>
  <bookViews>
    <workbookView xWindow="-120" yWindow="-120" windowWidth="29040" windowHeight="15840" tabRatio="522" xr2:uid="{00000000-000D-0000-FFFF-FFFF00000000}"/>
  </bookViews>
  <sheets>
    <sheet name="Design Calculation" sheetId="1" r:id="rId1"/>
    <sheet name="LegalDisclaimer" sheetId="3" r:id="rId2"/>
    <sheet name="Frequency Response Calculation" sheetId="2" r:id="rId3"/>
  </sheets>
  <definedNames>
    <definedName name="BST_HS_dead_time">'Design Calculation'!$C$97</definedName>
    <definedName name="BST_HS_Rdson">'Design Calculation'!$C$96</definedName>
    <definedName name="BST_HS_Vd">'Design Calculation'!$C$98</definedName>
    <definedName name="BST_LS_fall_time">'Design Calculation'!$C$94</definedName>
    <definedName name="BST_LS_Rdson">'Design Calculation'!$C$93</definedName>
    <definedName name="BST_LS_rise_time">'Design Calculation'!$C$95</definedName>
    <definedName name="BUCK_HS_Coss">'Design Calculation'!$C$85</definedName>
    <definedName name="BUCK_HS_fall_time">'Design Calculation'!$C$87</definedName>
    <definedName name="BUCK_HS_Qg">'Design Calculation'!$C$84</definedName>
    <definedName name="BUCK_HS_Rdson">'Design Calculation'!$C$83</definedName>
    <definedName name="BUCK_HS_rise_time">'Design Calculation'!$C$86</definedName>
    <definedName name="BUCK_LS_dead_time">'Design Calculation'!$C$91</definedName>
    <definedName name="BUCK_LS_deadtime">'Design Calculation'!$C$91</definedName>
    <definedName name="BUCK_LS_Qg">'Design Calculation'!$C$89</definedName>
    <definedName name="BUCK_LS_Qrr">'Design Calculation'!$C$90</definedName>
    <definedName name="BUCK_LS_Rdson">'Design Calculation'!$C$88</definedName>
    <definedName name="BUCK_LS_Vd">'Design Calculation'!$C$92</definedName>
    <definedName name="C_bst_snubber">'Design Calculation'!$C$100</definedName>
    <definedName name="C_buck_snubber">'Design Calculation'!$C$99</definedName>
    <definedName name="C_ca">'Frequency Response Calculation'!$AG$5</definedName>
    <definedName name="Ccomp">'Design Calculation'!$C$72</definedName>
    <definedName name="Cout_c">'Design Calculation'!$C$34</definedName>
    <definedName name="Cout_e">'Design Calculation'!$C$36</definedName>
    <definedName name="Cp">'Design Calculation'!$C$75</definedName>
    <definedName name="DCR">'Design Calculation'!$C$82</definedName>
    <definedName name="dVinpkpk">'Design Calculation'!$C$40</definedName>
    <definedName name="dVoutpkpk">'Design Calculation'!$C$32</definedName>
    <definedName name="eff">'Design Calculation'!$C$46</definedName>
    <definedName name="ESR">'Design Calculation'!$C$38</definedName>
    <definedName name="fco">'Design Calculation'!$C$67</definedName>
    <definedName name="fp">'Design Calculation'!$C$64</definedName>
    <definedName name="fp_comp2">'Design Calculation'!$C$76</definedName>
    <definedName name="fsw">'Design Calculation'!$C$28</definedName>
    <definedName name="fz_comp">'Design Calculation'!$C$73</definedName>
    <definedName name="fz_ESR">'Design Calculation'!$C$66</definedName>
    <definedName name="fzRHP">'Design Calculation'!$C$65</definedName>
    <definedName name="gm_ca">'Frequency Response Calculation'!$AG$3</definedName>
    <definedName name="gm_EA">'Design Calculation'!$C$68</definedName>
    <definedName name="gm_PS">'Design Calculation'!$C$63</definedName>
    <definedName name="Iavg_limit">'Design Calculation'!$C$56</definedName>
    <definedName name="ILpeak">'Design Calculation'!$C$80</definedName>
    <definedName name="ILpeak_max">'Design Calculation'!$C$53</definedName>
    <definedName name="ILrms">'Design Calculation'!$C$79</definedName>
    <definedName name="ILrms_max">'Design Calculation'!$C$52</definedName>
    <definedName name="ILvalley">'Design Calculation'!$C$81</definedName>
    <definedName name="ILvalley_max">'Design Calculation'!$C$55</definedName>
    <definedName name="Iout_limit">'Design Calculation'!$C$24</definedName>
    <definedName name="Ioutmax">'Design Calculation'!$C$17</definedName>
    <definedName name="K">'Design Calculation'!$C$48</definedName>
    <definedName name="L">'Design Calculation'!$C$51</definedName>
    <definedName name="Op_mode">'Design Calculation'!$C$62</definedName>
    <definedName name="R_1">'Design Calculation'!$C$25</definedName>
    <definedName name="R_5">'Design Calculation'!$C$22</definedName>
    <definedName name="R_7">'Design Calculation'!$C$22</definedName>
    <definedName name="R_ca">'Frequency Response Calculation'!$AG$4</definedName>
    <definedName name="Rcomp">'Design Calculation'!$C$70</definedName>
    <definedName name="Reg_Ilimit">'Design Calculation'!#REF!</definedName>
    <definedName name="Reg_Vref">'Design Calculation'!#REF!</definedName>
    <definedName name="Rpcb">'Design Calculation'!$C$101</definedName>
    <definedName name="tou">'Design Calculation'!$F$108</definedName>
    <definedName name="V_m">'Frequency Response Calculation'!$AG$6</definedName>
    <definedName name="Vin">'Design Calculation'!$C$60</definedName>
    <definedName name="Vin_eff">'Design Calculation'!$C$78</definedName>
    <definedName name="Vin_LP">'Design Calculation'!$C$60</definedName>
    <definedName name="Vin_max">'Design Calculation'!$C$15</definedName>
    <definedName name="Vin_min">'Design Calculation'!$C$14</definedName>
    <definedName name="Vout">'Design Calculation'!$C$16</definedName>
    <definedName name="Vout_LP">'Design Calculation'!$C$61</definedName>
  </definedNames>
  <calcPr calcId="181029" iterate="1"/>
  <customWorkbookViews>
    <customWorkbookView name="TI User - Personal View" guid="{0F8159A6-236F-4F54-A569-A835A6AD5DA8}" mergeInterval="0" personalView="1" maximized="1" windowWidth="1920" windowHeight="803" activeSheetId="1"/>
  </customWorkbookViews>
</workbook>
</file>

<file path=xl/calcChain.xml><?xml version="1.0" encoding="utf-8"?>
<calcChain xmlns="http://schemas.openxmlformats.org/spreadsheetml/2006/main">
  <c r="C61" i="1" l="1"/>
  <c r="C25" i="1"/>
  <c r="C23" i="1" l="1"/>
  <c r="C21" i="1"/>
  <c r="C29" i="1" l="1"/>
  <c r="C19" i="1"/>
  <c r="C71" i="1" l="1"/>
  <c r="F108" i="1" l="1"/>
  <c r="C76" i="1" l="1"/>
  <c r="C81" i="1" l="1"/>
  <c r="C79" i="1"/>
  <c r="C55" i="1"/>
  <c r="C53" i="1"/>
  <c r="C54" i="1" l="1"/>
  <c r="C63" i="1"/>
  <c r="C42" i="1" l="1"/>
  <c r="C80" i="1"/>
  <c r="C105" i="1" s="1"/>
  <c r="H108" i="1" l="1"/>
  <c r="G108" i="1"/>
  <c r="C107" i="1"/>
  <c r="C106" i="1"/>
  <c r="C50" i="1"/>
  <c r="C52" i="1"/>
  <c r="C62" i="1"/>
  <c r="AG6" i="2"/>
  <c r="C66" i="1"/>
  <c r="H8" i="2" s="1"/>
  <c r="C73" i="1"/>
  <c r="N6" i="2" s="1"/>
  <c r="I18" i="2"/>
  <c r="J29" i="2"/>
  <c r="R12" i="2"/>
  <c r="Q19" i="2"/>
  <c r="Q35" i="2"/>
  <c r="X18" i="2"/>
  <c r="Z24" i="2"/>
  <c r="Z40" i="2"/>
  <c r="C27" i="1"/>
  <c r="C26" i="1"/>
  <c r="T34" i="2"/>
  <c r="T35" i="2"/>
  <c r="T36" i="2"/>
  <c r="T37" i="2"/>
  <c r="T38" i="2"/>
  <c r="T11" i="2"/>
  <c r="T12" i="2"/>
  <c r="T17" i="2"/>
  <c r="T18" i="2"/>
  <c r="T19" i="2"/>
  <c r="T23" i="2"/>
  <c r="T24" i="2"/>
  <c r="T28" i="2"/>
  <c r="T5" i="2"/>
  <c r="T6" i="2"/>
  <c r="T3" i="2"/>
  <c r="S23" i="2"/>
  <c r="S24" i="2"/>
  <c r="S29" i="2"/>
  <c r="S30" i="2"/>
  <c r="S33" i="2"/>
  <c r="S34" i="2"/>
  <c r="S39" i="2"/>
  <c r="S40" i="2"/>
  <c r="S6" i="2"/>
  <c r="S7" i="2"/>
  <c r="S8" i="2"/>
  <c r="S17" i="2"/>
  <c r="S18" i="2"/>
  <c r="S22" i="2"/>
  <c r="B43" i="2"/>
  <c r="B42" i="2"/>
  <c r="S42" i="2" s="1"/>
  <c r="B41" i="2"/>
  <c r="B40" i="2"/>
  <c r="J40" i="2" s="1"/>
  <c r="B39" i="2"/>
  <c r="J39" i="2" s="1"/>
  <c r="B38" i="2"/>
  <c r="H38" i="2" s="1"/>
  <c r="O38" i="2"/>
  <c r="B37" i="2"/>
  <c r="O37" i="2"/>
  <c r="B36" i="2"/>
  <c r="B35" i="2"/>
  <c r="I35" i="2" s="1"/>
  <c r="B34" i="2"/>
  <c r="Q34" i="2" s="1"/>
  <c r="B33" i="2"/>
  <c r="T33" i="2" s="1"/>
  <c r="B32" i="2"/>
  <c r="B31" i="2"/>
  <c r="O31" i="2" s="1"/>
  <c r="B30" i="2"/>
  <c r="P30" i="2"/>
  <c r="B29" i="2"/>
  <c r="R29" i="2" s="1"/>
  <c r="P29" i="2"/>
  <c r="B28" i="2"/>
  <c r="Q28" i="2" s="1"/>
  <c r="P28" i="2"/>
  <c r="B27" i="2"/>
  <c r="T27" i="2" s="1"/>
  <c r="B26" i="2"/>
  <c r="S26" i="2" s="1"/>
  <c r="B25" i="2"/>
  <c r="T25" i="2" s="1"/>
  <c r="P25" i="2"/>
  <c r="B24" i="2"/>
  <c r="Y24" i="2" s="1"/>
  <c r="B23" i="2"/>
  <c r="J23" i="2" s="1"/>
  <c r="B22" i="2"/>
  <c r="J22" i="2" s="1"/>
  <c r="O22" i="2"/>
  <c r="B21" i="2"/>
  <c r="O21" i="2"/>
  <c r="B20" i="2"/>
  <c r="T20" i="2" s="1"/>
  <c r="O20" i="2"/>
  <c r="B19" i="2"/>
  <c r="R19" i="2" s="1"/>
  <c r="B18" i="2"/>
  <c r="Y18" i="2" s="1"/>
  <c r="B17" i="2"/>
  <c r="Z17" i="2" s="1"/>
  <c r="B16" i="2"/>
  <c r="S16" i="2" s="1"/>
  <c r="B15" i="2"/>
  <c r="B14" i="2"/>
  <c r="P14" i="2" s="1"/>
  <c r="B13" i="2"/>
  <c r="P13" i="2"/>
  <c r="B12" i="2"/>
  <c r="J12" i="2" s="1"/>
  <c r="P12" i="2"/>
  <c r="B11" i="2"/>
  <c r="R11" i="2" s="1"/>
  <c r="B10" i="2"/>
  <c r="B9" i="2"/>
  <c r="P9" i="2"/>
  <c r="B8" i="2"/>
  <c r="B7" i="2"/>
  <c r="B6" i="2"/>
  <c r="J6" i="2" s="1"/>
  <c r="O6" i="2"/>
  <c r="B5" i="2"/>
  <c r="R5" i="2" s="1"/>
  <c r="O5" i="2"/>
  <c r="B4" i="2"/>
  <c r="B3" i="2"/>
  <c r="P3" i="2"/>
  <c r="O35" i="2"/>
  <c r="O19" i="2"/>
  <c r="O41" i="2"/>
  <c r="O25" i="2"/>
  <c r="O9" i="2"/>
  <c r="P34" i="2"/>
  <c r="P18" i="2"/>
  <c r="P40" i="2"/>
  <c r="P24" i="2"/>
  <c r="P8" i="2"/>
  <c r="O18" i="2"/>
  <c r="P11" i="2"/>
  <c r="O3" i="2"/>
  <c r="O28" i="2"/>
  <c r="O12" i="2"/>
  <c r="P5" i="2"/>
  <c r="O27" i="2"/>
  <c r="O11" i="2"/>
  <c r="P36" i="2"/>
  <c r="P20" i="2"/>
  <c r="P39" i="2"/>
  <c r="P23" i="2"/>
  <c r="P7" i="2"/>
  <c r="O33" i="2"/>
  <c r="O17" i="2"/>
  <c r="O40" i="2"/>
  <c r="O24" i="2"/>
  <c r="O8" i="2"/>
  <c r="P17" i="2"/>
  <c r="O39" i="2"/>
  <c r="O23" i="2"/>
  <c r="P16" i="2"/>
  <c r="O42" i="2"/>
  <c r="P35" i="2"/>
  <c r="P19" i="2"/>
  <c r="O29" i="2"/>
  <c r="O13" i="2"/>
  <c r="P38" i="2"/>
  <c r="P22" i="2"/>
  <c r="P6" i="2"/>
  <c r="C58" i="1"/>
  <c r="C31" i="1"/>
  <c r="H33" i="2" l="1"/>
  <c r="H28" i="2"/>
  <c r="H41" i="2"/>
  <c r="H30" i="2"/>
  <c r="H17" i="2"/>
  <c r="H22" i="2"/>
  <c r="H6" i="2"/>
  <c r="H18" i="2"/>
  <c r="H19" i="2"/>
  <c r="H39" i="2"/>
  <c r="C69" i="1"/>
  <c r="N3" i="2"/>
  <c r="H31" i="2"/>
  <c r="K15" i="2"/>
  <c r="L15" i="2"/>
  <c r="Y15" i="2"/>
  <c r="Z15" i="2"/>
  <c r="T15" i="2"/>
  <c r="J15" i="2"/>
  <c r="R15" i="2"/>
  <c r="Q15" i="2"/>
  <c r="I15" i="2"/>
  <c r="X15" i="2"/>
  <c r="L32" i="2"/>
  <c r="K32" i="2"/>
  <c r="I32" i="2"/>
  <c r="X32" i="2"/>
  <c r="P32" i="2"/>
  <c r="Y32" i="2"/>
  <c r="O32" i="2"/>
  <c r="Z32" i="2"/>
  <c r="J32" i="2"/>
  <c r="R32" i="2"/>
  <c r="Q32" i="2"/>
  <c r="K10" i="2"/>
  <c r="L10" i="2"/>
  <c r="R10" i="2"/>
  <c r="I10" i="2"/>
  <c r="Q10" i="2"/>
  <c r="P10" i="2"/>
  <c r="X10" i="2"/>
  <c r="Y10" i="2"/>
  <c r="Z10" i="2"/>
  <c r="J10" i="2"/>
  <c r="S32" i="2"/>
  <c r="T26" i="2"/>
  <c r="T16" i="2"/>
  <c r="P15" i="2"/>
  <c r="S31" i="2"/>
  <c r="L4" i="2"/>
  <c r="K4" i="2"/>
  <c r="P4" i="2"/>
  <c r="J4" i="2"/>
  <c r="S4" i="2"/>
  <c r="H4" i="2"/>
  <c r="R4" i="2"/>
  <c r="Q4" i="2"/>
  <c r="X4" i="2"/>
  <c r="I4" i="2"/>
  <c r="Y4" i="2"/>
  <c r="Z4" i="2"/>
  <c r="N26" i="2"/>
  <c r="L36" i="2"/>
  <c r="K36" i="2"/>
  <c r="O36" i="2"/>
  <c r="R36" i="2"/>
  <c r="J36" i="2"/>
  <c r="S36" i="2"/>
  <c r="H36" i="2"/>
  <c r="Q36" i="2"/>
  <c r="I36" i="2"/>
  <c r="X36" i="2"/>
  <c r="Y36" i="2"/>
  <c r="Z36" i="2"/>
  <c r="L42" i="2"/>
  <c r="K42" i="2"/>
  <c r="R42" i="2"/>
  <c r="I42" i="2"/>
  <c r="Q42" i="2"/>
  <c r="X42" i="2"/>
  <c r="Y42" i="2"/>
  <c r="Z42" i="2"/>
  <c r="P42" i="2"/>
  <c r="J42" i="2"/>
  <c r="S14" i="2"/>
  <c r="T4" i="2"/>
  <c r="T10" i="2"/>
  <c r="O4" i="2"/>
  <c r="K9" i="2"/>
  <c r="L9" i="2"/>
  <c r="Q9" i="2"/>
  <c r="I9" i="2"/>
  <c r="X9" i="2"/>
  <c r="Y9" i="2"/>
  <c r="T9" i="2"/>
  <c r="Z9" i="2"/>
  <c r="J9" i="2"/>
  <c r="R9" i="2"/>
  <c r="L27" i="2"/>
  <c r="K27" i="2"/>
  <c r="J27" i="2"/>
  <c r="S27" i="2"/>
  <c r="R27" i="2"/>
  <c r="N27" i="2"/>
  <c r="Q27" i="2"/>
  <c r="I27" i="2"/>
  <c r="X27" i="2"/>
  <c r="Y27" i="2"/>
  <c r="Z27" i="2"/>
  <c r="L16" i="2"/>
  <c r="K16" i="2"/>
  <c r="I16" i="2"/>
  <c r="X16" i="2"/>
  <c r="O16" i="2"/>
  <c r="Y16" i="2"/>
  <c r="Z16" i="2"/>
  <c r="J16" i="2"/>
  <c r="R16" i="2"/>
  <c r="Q16" i="2"/>
  <c r="P33" i="2"/>
  <c r="O15" i="2"/>
  <c r="K41" i="2"/>
  <c r="L41" i="2"/>
  <c r="Q41" i="2"/>
  <c r="P41" i="2"/>
  <c r="I41" i="2"/>
  <c r="X41" i="2"/>
  <c r="Y41" i="2"/>
  <c r="T41" i="2"/>
  <c r="Z41" i="2"/>
  <c r="J41" i="2"/>
  <c r="R41" i="2"/>
  <c r="S15" i="2"/>
  <c r="S41" i="2"/>
  <c r="O10" i="2"/>
  <c r="O26" i="2"/>
  <c r="K7" i="2"/>
  <c r="L7" i="2"/>
  <c r="Y7" i="2"/>
  <c r="T7" i="2"/>
  <c r="Z7" i="2"/>
  <c r="O7" i="2"/>
  <c r="H7" i="2"/>
  <c r="J7" i="2"/>
  <c r="R7" i="2"/>
  <c r="Q7" i="2"/>
  <c r="I7" i="2"/>
  <c r="X7" i="2"/>
  <c r="L43" i="2"/>
  <c r="K43" i="2"/>
  <c r="J43" i="2"/>
  <c r="S43" i="2"/>
  <c r="Q43" i="2"/>
  <c r="R43" i="2"/>
  <c r="O43" i="2"/>
  <c r="P43" i="2"/>
  <c r="I43" i="2"/>
  <c r="X43" i="2"/>
  <c r="Y43" i="2"/>
  <c r="Z43" i="2"/>
  <c r="S10" i="2"/>
  <c r="T43" i="2"/>
  <c r="L14" i="2"/>
  <c r="K14" i="2"/>
  <c r="Z14" i="2"/>
  <c r="T14" i="2"/>
  <c r="O14" i="2"/>
  <c r="J14" i="2"/>
  <c r="R14" i="2"/>
  <c r="Q14" i="2"/>
  <c r="I14" i="2"/>
  <c r="X14" i="2"/>
  <c r="Y14" i="2"/>
  <c r="K26" i="2"/>
  <c r="L26" i="2"/>
  <c r="R26" i="2"/>
  <c r="P26" i="2"/>
  <c r="I26" i="2"/>
  <c r="Q26" i="2"/>
  <c r="X26" i="2"/>
  <c r="Y26" i="2"/>
  <c r="Z26" i="2"/>
  <c r="J26" i="2"/>
  <c r="K31" i="2"/>
  <c r="L31" i="2"/>
  <c r="Y31" i="2"/>
  <c r="Z31" i="2"/>
  <c r="T31" i="2"/>
  <c r="P31" i="2"/>
  <c r="J31" i="2"/>
  <c r="R31" i="2"/>
  <c r="Q31" i="2"/>
  <c r="I31" i="2"/>
  <c r="X31" i="2"/>
  <c r="K21" i="2"/>
  <c r="L21" i="2"/>
  <c r="T21" i="2"/>
  <c r="J21" i="2"/>
  <c r="S21" i="2"/>
  <c r="P21" i="2"/>
  <c r="R21" i="2"/>
  <c r="Q21" i="2"/>
  <c r="I21" i="2"/>
  <c r="X21" i="2"/>
  <c r="Y21" i="2"/>
  <c r="Z21" i="2"/>
  <c r="L38" i="2"/>
  <c r="K38" i="2"/>
  <c r="Z38" i="2"/>
  <c r="J38" i="2"/>
  <c r="R38" i="2"/>
  <c r="Q38" i="2"/>
  <c r="I38" i="2"/>
  <c r="X38" i="2"/>
  <c r="Y38" i="2"/>
  <c r="L33" i="2"/>
  <c r="K33" i="2"/>
  <c r="Q33" i="2"/>
  <c r="I33" i="2"/>
  <c r="X33" i="2"/>
  <c r="Y33" i="2"/>
  <c r="Z33" i="2"/>
  <c r="J33" i="2"/>
  <c r="R33" i="2"/>
  <c r="H9" i="2"/>
  <c r="N14" i="2"/>
  <c r="P27" i="2"/>
  <c r="K3" i="2"/>
  <c r="L3" i="2"/>
  <c r="H3" i="2"/>
  <c r="J3" i="2"/>
  <c r="R3" i="2"/>
  <c r="Q3" i="2"/>
  <c r="X3" i="2"/>
  <c r="Y3" i="2"/>
  <c r="I3" i="2"/>
  <c r="Z3" i="2"/>
  <c r="K8" i="2"/>
  <c r="L8" i="2"/>
  <c r="I8" i="2"/>
  <c r="X8" i="2"/>
  <c r="Y8" i="2"/>
  <c r="T8" i="2"/>
  <c r="Z8" i="2"/>
  <c r="J8" i="2"/>
  <c r="R8" i="2"/>
  <c r="Q8" i="2"/>
  <c r="L13" i="2"/>
  <c r="K13" i="2"/>
  <c r="T13" i="2"/>
  <c r="J13" i="2"/>
  <c r="S13" i="2"/>
  <c r="R13" i="2"/>
  <c r="Q13" i="2"/>
  <c r="I13" i="2"/>
  <c r="X13" i="2"/>
  <c r="Y13" i="2"/>
  <c r="Z13" i="2"/>
  <c r="L20" i="2"/>
  <c r="K20" i="2"/>
  <c r="H20" i="2"/>
  <c r="R20" i="2"/>
  <c r="J20" i="2"/>
  <c r="S20" i="2"/>
  <c r="Q20" i="2"/>
  <c r="I20" i="2"/>
  <c r="X20" i="2"/>
  <c r="Y20" i="2"/>
  <c r="Z20" i="2"/>
  <c r="K25" i="2"/>
  <c r="L25" i="2"/>
  <c r="Q25" i="2"/>
  <c r="H25" i="2"/>
  <c r="Y25" i="2"/>
  <c r="I25" i="2"/>
  <c r="X25" i="2"/>
  <c r="Z25" i="2"/>
  <c r="J25" i="2"/>
  <c r="R25" i="2"/>
  <c r="L30" i="2"/>
  <c r="K30" i="2"/>
  <c r="Z30" i="2"/>
  <c r="T30" i="2"/>
  <c r="O30" i="2"/>
  <c r="J30" i="2"/>
  <c r="R30" i="2"/>
  <c r="Q30" i="2"/>
  <c r="I30" i="2"/>
  <c r="X30" i="2"/>
  <c r="Y30" i="2"/>
  <c r="K37" i="2"/>
  <c r="L37" i="2"/>
  <c r="S37" i="2"/>
  <c r="P37" i="2"/>
  <c r="J37" i="2"/>
  <c r="R37" i="2"/>
  <c r="Q37" i="2"/>
  <c r="I37" i="2"/>
  <c r="X37" i="2"/>
  <c r="Y37" i="2"/>
  <c r="Z37" i="2"/>
  <c r="S3" i="2"/>
  <c r="S9" i="2"/>
  <c r="S38" i="2"/>
  <c r="S25" i="2"/>
  <c r="T32" i="2"/>
  <c r="T42" i="2"/>
  <c r="Z29" i="2"/>
  <c r="Z5" i="2"/>
  <c r="Y22" i="2"/>
  <c r="Y6" i="2"/>
  <c r="X39" i="2"/>
  <c r="X23" i="2"/>
  <c r="Q40" i="2"/>
  <c r="Q24" i="2"/>
  <c r="R17" i="2"/>
  <c r="J34" i="2"/>
  <c r="J18" i="2"/>
  <c r="I39" i="2"/>
  <c r="I23" i="2"/>
  <c r="Z28" i="2"/>
  <c r="Z12" i="2"/>
  <c r="Y29" i="2"/>
  <c r="Y5" i="2"/>
  <c r="X22" i="2"/>
  <c r="X6" i="2"/>
  <c r="Q39" i="2"/>
  <c r="Q23" i="2"/>
  <c r="R40" i="2"/>
  <c r="R24" i="2"/>
  <c r="J17" i="2"/>
  <c r="I22" i="2"/>
  <c r="M6" i="2"/>
  <c r="Z35" i="2"/>
  <c r="Z19" i="2"/>
  <c r="Z11" i="2"/>
  <c r="Y28" i="2"/>
  <c r="Y12" i="2"/>
  <c r="X29" i="2"/>
  <c r="X5" i="2"/>
  <c r="Q22" i="2"/>
  <c r="Q6" i="2"/>
  <c r="R39" i="2"/>
  <c r="R23" i="2"/>
  <c r="J24" i="2"/>
  <c r="I29" i="2"/>
  <c r="I6" i="2"/>
  <c r="Z34" i="2"/>
  <c r="Z18" i="2"/>
  <c r="Y35" i="2"/>
  <c r="Y19" i="2"/>
  <c r="Y11" i="2"/>
  <c r="X28" i="2"/>
  <c r="X12" i="2"/>
  <c r="Q29" i="2"/>
  <c r="Q5" i="2"/>
  <c r="R22" i="2"/>
  <c r="R6" i="2"/>
  <c r="I5" i="2"/>
  <c r="I28" i="2"/>
  <c r="I12" i="2"/>
  <c r="G6" i="2"/>
  <c r="Y34" i="2"/>
  <c r="X35" i="2"/>
  <c r="X19" i="2"/>
  <c r="X11" i="2"/>
  <c r="Q12" i="2"/>
  <c r="I19" i="2"/>
  <c r="I11" i="2"/>
  <c r="L5" i="2"/>
  <c r="K5" i="2"/>
  <c r="L17" i="2"/>
  <c r="K17" i="2"/>
  <c r="K22" i="2"/>
  <c r="L22" i="2"/>
  <c r="L28" i="2"/>
  <c r="K28" i="2"/>
  <c r="L39" i="2"/>
  <c r="K39" i="2"/>
  <c r="S5" i="2"/>
  <c r="Y17" i="2"/>
  <c r="X34" i="2"/>
  <c r="R28" i="2"/>
  <c r="L18" i="2"/>
  <c r="K18" i="2"/>
  <c r="L23" i="2"/>
  <c r="K23" i="2"/>
  <c r="L35" i="2"/>
  <c r="K35" i="2"/>
  <c r="L40" i="2"/>
  <c r="K40" i="2"/>
  <c r="S12" i="2"/>
  <c r="S28" i="2"/>
  <c r="T22" i="2"/>
  <c r="T40" i="2"/>
  <c r="Z39" i="2"/>
  <c r="Z23" i="2"/>
  <c r="Y40" i="2"/>
  <c r="X17" i="2"/>
  <c r="Q18" i="2"/>
  <c r="R35" i="2"/>
  <c r="J28" i="2"/>
  <c r="I17" i="2"/>
  <c r="L11" i="2"/>
  <c r="K11" i="2"/>
  <c r="L34" i="2"/>
  <c r="K34" i="2"/>
  <c r="Q11" i="2"/>
  <c r="J5" i="2"/>
  <c r="I34" i="2"/>
  <c r="N39" i="2"/>
  <c r="H11" i="2"/>
  <c r="O34" i="2"/>
  <c r="K6" i="2"/>
  <c r="L6" i="2"/>
  <c r="K12" i="2"/>
  <c r="L12" i="2"/>
  <c r="L19" i="2"/>
  <c r="K19" i="2"/>
  <c r="L24" i="2"/>
  <c r="K24" i="2"/>
  <c r="L29" i="2"/>
  <c r="K29" i="2"/>
  <c r="S19" i="2"/>
  <c r="S11" i="2"/>
  <c r="S35" i="2"/>
  <c r="T29" i="2"/>
  <c r="T39" i="2"/>
  <c r="Z22" i="2"/>
  <c r="Z6" i="2"/>
  <c r="Y39" i="2"/>
  <c r="Y23" i="2"/>
  <c r="X40" i="2"/>
  <c r="X24" i="2"/>
  <c r="Q17" i="2"/>
  <c r="R34" i="2"/>
  <c r="R18" i="2"/>
  <c r="J35" i="2"/>
  <c r="J19" i="2"/>
  <c r="J11" i="2"/>
  <c r="I40" i="2"/>
  <c r="I24" i="2"/>
  <c r="H32" i="2"/>
  <c r="H40" i="2"/>
  <c r="H37" i="2"/>
  <c r="H5" i="2"/>
  <c r="H21" i="2"/>
  <c r="H12" i="2"/>
  <c r="H14" i="2"/>
  <c r="H16" i="2"/>
  <c r="H43" i="2"/>
  <c r="H15" i="2"/>
  <c r="G4" i="2"/>
  <c r="G43" i="2"/>
  <c r="G41" i="2"/>
  <c r="G39" i="2"/>
  <c r="G37" i="2"/>
  <c r="G35" i="2"/>
  <c r="G33" i="2"/>
  <c r="G31" i="2"/>
  <c r="G29" i="2"/>
  <c r="G27" i="2"/>
  <c r="G25" i="2"/>
  <c r="G23" i="2"/>
  <c r="G21" i="2"/>
  <c r="G19" i="2"/>
  <c r="G17" i="2"/>
  <c r="G15" i="2"/>
  <c r="G13" i="2"/>
  <c r="G11" i="2"/>
  <c r="G9" i="2"/>
  <c r="G7" i="2"/>
  <c r="H23" i="2"/>
  <c r="H24" i="2"/>
  <c r="H26" i="2"/>
  <c r="H13" i="2"/>
  <c r="H42" i="2"/>
  <c r="H27" i="2"/>
  <c r="H29" i="2"/>
  <c r="H10" i="2"/>
  <c r="H35" i="2"/>
  <c r="H34" i="2"/>
  <c r="G3" i="2"/>
  <c r="G5" i="2"/>
  <c r="G42" i="2"/>
  <c r="G40" i="2"/>
  <c r="G38" i="2"/>
  <c r="G36" i="2"/>
  <c r="G34" i="2"/>
  <c r="G32" i="2"/>
  <c r="G30" i="2"/>
  <c r="G28" i="2"/>
  <c r="G26" i="2"/>
  <c r="G24" i="2"/>
  <c r="G22" i="2"/>
  <c r="G20" i="2"/>
  <c r="G18" i="2"/>
  <c r="G16" i="2"/>
  <c r="G14" i="2"/>
  <c r="G12" i="2"/>
  <c r="G10" i="2"/>
  <c r="G8" i="2"/>
  <c r="C108" i="1"/>
  <c r="C65" i="1"/>
  <c r="C74" i="1" s="1"/>
  <c r="N43" i="2"/>
  <c r="N38" i="2"/>
  <c r="N35" i="2"/>
  <c r="N23" i="2"/>
  <c r="N8" i="2"/>
  <c r="N11" i="2"/>
  <c r="N5" i="2"/>
  <c r="N41" i="2"/>
  <c r="N42" i="2"/>
  <c r="N19" i="2"/>
  <c r="N25" i="2"/>
  <c r="N24" i="2"/>
  <c r="N28" i="2"/>
  <c r="N32" i="2"/>
  <c r="N10" i="2"/>
  <c r="N30" i="2"/>
  <c r="N31" i="2"/>
  <c r="N37" i="2"/>
  <c r="N36" i="2"/>
  <c r="N18" i="2"/>
  <c r="N7" i="2"/>
  <c r="N29" i="2"/>
  <c r="N17" i="2"/>
  <c r="N21" i="2"/>
  <c r="N20" i="2"/>
  <c r="N34" i="2"/>
  <c r="N22" i="2"/>
  <c r="N33" i="2"/>
  <c r="N40" i="2"/>
  <c r="N15" i="2"/>
  <c r="N4" i="2"/>
  <c r="N16" i="2"/>
  <c r="N12" i="2"/>
  <c r="N9" i="2"/>
  <c r="N13" i="2"/>
  <c r="M3" i="2"/>
  <c r="M4" i="2"/>
  <c r="M5"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C33" i="1"/>
  <c r="C64" i="1"/>
  <c r="F34" i="2" s="1"/>
  <c r="V19" i="2"/>
  <c r="V6" i="2"/>
  <c r="V35" i="2"/>
  <c r="C111" i="1"/>
  <c r="C103" i="1"/>
  <c r="C102" i="1"/>
  <c r="V8" i="2"/>
  <c r="V12" i="2"/>
  <c r="V16" i="2"/>
  <c r="V20" i="2"/>
  <c r="V24" i="2"/>
  <c r="V28" i="2"/>
  <c r="V32" i="2"/>
  <c r="V36" i="2"/>
  <c r="V40" i="2"/>
  <c r="V7" i="2"/>
  <c r="V3"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5" i="2"/>
  <c r="U4" i="2"/>
  <c r="U3" i="2"/>
  <c r="V9" i="2"/>
  <c r="V13" i="2"/>
  <c r="V17" i="2"/>
  <c r="V21" i="2"/>
  <c r="V25" i="2"/>
  <c r="V29" i="2"/>
  <c r="V33" i="2"/>
  <c r="V37" i="2"/>
  <c r="V41" i="2"/>
  <c r="U6" i="2"/>
  <c r="V10" i="2"/>
  <c r="V14" i="2"/>
  <c r="V18" i="2"/>
  <c r="V22" i="2"/>
  <c r="V26" i="2"/>
  <c r="V30" i="2"/>
  <c r="V34" i="2"/>
  <c r="V38" i="2"/>
  <c r="V42" i="2"/>
  <c r="V5" i="2"/>
  <c r="V4" i="2"/>
  <c r="V31" i="2"/>
  <c r="V15" i="2"/>
  <c r="V43" i="2"/>
  <c r="V27" i="2"/>
  <c r="V11" i="2"/>
  <c r="V39" i="2"/>
  <c r="V23" i="2"/>
  <c r="C109" i="1" l="1"/>
  <c r="D22" i="2"/>
  <c r="D30" i="2"/>
  <c r="D36" i="2"/>
  <c r="D11" i="2"/>
  <c r="C39" i="2"/>
  <c r="C21" i="2"/>
  <c r="D38" i="2"/>
  <c r="C4" i="2"/>
  <c r="C38" i="2"/>
  <c r="D15" i="2"/>
  <c r="C37" i="2"/>
  <c r="C14" i="2"/>
  <c r="D35" i="2"/>
  <c r="D5" i="2"/>
  <c r="C31" i="2"/>
  <c r="C13" i="2"/>
  <c r="D14" i="2"/>
  <c r="D27" i="2"/>
  <c r="C30" i="2"/>
  <c r="C7" i="2"/>
  <c r="D28" i="2"/>
  <c r="D3" i="2"/>
  <c r="D20" i="2"/>
  <c r="C22" i="2"/>
  <c r="C15" i="2"/>
  <c r="D34" i="2"/>
  <c r="AB34" i="2" s="1"/>
  <c r="AD34" i="2" s="1"/>
  <c r="C29" i="2"/>
  <c r="C3" i="2"/>
  <c r="C23" i="2"/>
  <c r="D8" i="2"/>
  <c r="D40" i="2"/>
  <c r="D26" i="2"/>
  <c r="C5" i="2"/>
  <c r="C36" i="2"/>
  <c r="C28" i="2"/>
  <c r="C20" i="2"/>
  <c r="C12" i="2"/>
  <c r="D29" i="2"/>
  <c r="D41" i="2"/>
  <c r="D37" i="2"/>
  <c r="D43" i="2"/>
  <c r="D32" i="2"/>
  <c r="D10" i="2"/>
  <c r="C43" i="2"/>
  <c r="C35" i="2"/>
  <c r="C27" i="2"/>
  <c r="C19" i="2"/>
  <c r="C11" i="2"/>
  <c r="D13" i="2"/>
  <c r="D24" i="2"/>
  <c r="D18" i="2"/>
  <c r="D23" i="2"/>
  <c r="C26" i="2"/>
  <c r="C10" i="2"/>
  <c r="C6" i="2"/>
  <c r="AA6" i="2" s="1"/>
  <c r="D9" i="2"/>
  <c r="C34" i="2"/>
  <c r="D12" i="2"/>
  <c r="D42" i="2"/>
  <c r="D7" i="2"/>
  <c r="D31" i="2"/>
  <c r="C41" i="2"/>
  <c r="C33" i="2"/>
  <c r="C25" i="2"/>
  <c r="C17" i="2"/>
  <c r="C9" i="2"/>
  <c r="D6" i="2"/>
  <c r="D4" i="2"/>
  <c r="D21" i="2"/>
  <c r="C42" i="2"/>
  <c r="C18" i="2"/>
  <c r="D16" i="2"/>
  <c r="D25" i="2"/>
  <c r="D17" i="2"/>
  <c r="D39" i="2"/>
  <c r="C40" i="2"/>
  <c r="C32" i="2"/>
  <c r="C24" i="2"/>
  <c r="C16" i="2"/>
  <c r="C8" i="2"/>
  <c r="D19" i="2"/>
  <c r="D33" i="2"/>
  <c r="F27" i="2"/>
  <c r="F17" i="2"/>
  <c r="E36" i="2"/>
  <c r="E3" i="2"/>
  <c r="F38" i="2"/>
  <c r="E23" i="2"/>
  <c r="F14" i="2"/>
  <c r="F6" i="2"/>
  <c r="E31" i="2"/>
  <c r="F24" i="2"/>
  <c r="E41" i="2"/>
  <c r="E7" i="2"/>
  <c r="F23" i="2"/>
  <c r="F39" i="2"/>
  <c r="F32" i="2"/>
  <c r="F37" i="2"/>
  <c r="F7" i="2"/>
  <c r="F20" i="2"/>
  <c r="E4" i="2"/>
  <c r="E40" i="2"/>
  <c r="E35" i="2"/>
  <c r="E28" i="2"/>
  <c r="E21" i="2"/>
  <c r="E6" i="2"/>
  <c r="F12" i="2"/>
  <c r="F40" i="2"/>
  <c r="E33" i="2"/>
  <c r="F15" i="2"/>
  <c r="F26" i="2"/>
  <c r="F4" i="2"/>
  <c r="F35" i="2"/>
  <c r="E5" i="2"/>
  <c r="E39" i="2"/>
  <c r="E27" i="2"/>
  <c r="E18" i="2"/>
  <c r="F13" i="2"/>
  <c r="F11" i="2"/>
  <c r="F42" i="2"/>
  <c r="F33" i="2"/>
  <c r="F19" i="2"/>
  <c r="F10" i="2"/>
  <c r="F21" i="2"/>
  <c r="E43" i="2"/>
  <c r="E37" i="2"/>
  <c r="E32" i="2"/>
  <c r="E25" i="2"/>
  <c r="E9" i="2"/>
  <c r="F22" i="2"/>
  <c r="F8" i="2"/>
  <c r="E42" i="2"/>
  <c r="E38" i="2"/>
  <c r="E34" i="2"/>
  <c r="E29" i="2"/>
  <c r="E24" i="2"/>
  <c r="E16" i="2"/>
  <c r="E14" i="2"/>
  <c r="E20" i="2"/>
  <c r="E13" i="2"/>
  <c r="E30" i="2"/>
  <c r="E26" i="2"/>
  <c r="E22" i="2"/>
  <c r="E17" i="2"/>
  <c r="E11" i="2"/>
  <c r="E19" i="2"/>
  <c r="E15" i="2"/>
  <c r="E10" i="2"/>
  <c r="F31" i="2"/>
  <c r="AB31" i="2" s="1"/>
  <c r="AD31" i="2" s="1"/>
  <c r="F30" i="2"/>
  <c r="F41" i="2"/>
  <c r="E12" i="2"/>
  <c r="E8" i="2"/>
  <c r="F9" i="2"/>
  <c r="F36" i="2"/>
  <c r="AB36" i="2" s="1"/>
  <c r="AD36" i="2" s="1"/>
  <c r="F5" i="2"/>
  <c r="F18" i="2"/>
  <c r="AB18" i="2" s="1"/>
  <c r="AD18" i="2" s="1"/>
  <c r="F16" i="2"/>
  <c r="F29" i="2"/>
  <c r="F28" i="2"/>
  <c r="F43" i="2"/>
  <c r="F25" i="2"/>
  <c r="F3" i="2"/>
  <c r="AA16" i="2" l="1"/>
  <c r="AC16" i="2" s="1"/>
  <c r="AB38" i="2"/>
  <c r="AD38" i="2" s="1"/>
  <c r="AB10" i="2"/>
  <c r="AD10" i="2" s="1"/>
  <c r="AB41" i="2"/>
  <c r="AD41" i="2" s="1"/>
  <c r="AB14" i="2"/>
  <c r="AD14" i="2" s="1"/>
  <c r="AA18" i="2"/>
  <c r="AA33" i="2"/>
  <c r="AC33" i="2" s="1"/>
  <c r="AA31" i="2"/>
  <c r="AC31" i="2" s="1"/>
  <c r="AA19" i="2"/>
  <c r="AC19" i="2" s="1"/>
  <c r="AA24" i="2"/>
  <c r="AC24" i="2" s="1"/>
  <c r="AA42" i="2"/>
  <c r="AC42" i="2" s="1"/>
  <c r="AA41" i="2"/>
  <c r="AC41" i="2" s="1"/>
  <c r="AA10" i="2"/>
  <c r="AC10" i="2" s="1"/>
  <c r="AA27" i="2"/>
  <c r="AC27" i="2" s="1"/>
  <c r="AA21" i="2"/>
  <c r="AC21" i="2" s="1"/>
  <c r="AA32" i="2"/>
  <c r="AC32" i="2" s="1"/>
  <c r="AA26" i="2"/>
  <c r="AC26" i="2" s="1"/>
  <c r="AA35" i="2"/>
  <c r="AC35" i="2" s="1"/>
  <c r="AA12" i="2"/>
  <c r="AC12" i="2" s="1"/>
  <c r="AA23" i="2"/>
  <c r="AC23" i="2" s="1"/>
  <c r="AA39" i="2"/>
  <c r="AC39" i="2" s="1"/>
  <c r="AA40" i="2"/>
  <c r="AC40" i="2" s="1"/>
  <c r="AA43" i="2"/>
  <c r="AC43" i="2" s="1"/>
  <c r="AA20" i="2"/>
  <c r="AC20" i="2" s="1"/>
  <c r="AA3" i="2"/>
  <c r="AC3" i="2" s="1"/>
  <c r="AA7" i="2"/>
  <c r="AC7" i="2" s="1"/>
  <c r="AA14" i="2"/>
  <c r="AC14" i="2" s="1"/>
  <c r="AA28" i="2"/>
  <c r="AC28" i="2" s="1"/>
  <c r="AA29" i="2"/>
  <c r="AC29" i="2" s="1"/>
  <c r="AA30" i="2"/>
  <c r="AC30" i="2" s="1"/>
  <c r="AA37" i="2"/>
  <c r="AC37" i="2" s="1"/>
  <c r="AA9" i="2"/>
  <c r="AC9" i="2" s="1"/>
  <c r="AA36" i="2"/>
  <c r="AC36" i="2" s="1"/>
  <c r="AA17" i="2"/>
  <c r="AC17" i="2" s="1"/>
  <c r="AA34" i="2"/>
  <c r="AC34" i="2" s="1"/>
  <c r="AA5" i="2"/>
  <c r="AC5" i="2" s="1"/>
  <c r="AA15" i="2"/>
  <c r="AC15" i="2" s="1"/>
  <c r="AA38" i="2"/>
  <c r="AC38" i="2" s="1"/>
  <c r="AA8" i="2"/>
  <c r="AC8" i="2" s="1"/>
  <c r="AA25" i="2"/>
  <c r="AC25" i="2" s="1"/>
  <c r="AA11" i="2"/>
  <c r="AC11" i="2" s="1"/>
  <c r="AA22" i="2"/>
  <c r="AC22" i="2" s="1"/>
  <c r="AA13" i="2"/>
  <c r="AC13" i="2" s="1"/>
  <c r="AA4" i="2"/>
  <c r="AC4" i="2" s="1"/>
  <c r="AB6" i="2"/>
  <c r="AD6" i="2" s="1"/>
  <c r="AB30" i="2"/>
  <c r="AD30" i="2" s="1"/>
  <c r="AB33" i="2"/>
  <c r="AD33" i="2" s="1"/>
  <c r="AB32" i="2"/>
  <c r="AD32" i="2" s="1"/>
  <c r="AB26" i="2"/>
  <c r="AD26" i="2" s="1"/>
  <c r="AB22" i="2"/>
  <c r="AD22" i="2" s="1"/>
  <c r="AB40" i="2"/>
  <c r="AD40" i="2" s="1"/>
  <c r="AB20" i="2"/>
  <c r="AD20" i="2" s="1"/>
  <c r="AC6" i="2"/>
  <c r="AC18" i="2"/>
  <c r="AB11" i="2"/>
  <c r="AD11" i="2" s="1"/>
  <c r="AB7" i="2"/>
  <c r="AD7" i="2" s="1"/>
  <c r="AB16" i="2"/>
  <c r="AD16" i="2" s="1"/>
  <c r="AB3" i="2"/>
  <c r="AD3" i="2" s="1"/>
  <c r="AB35" i="2"/>
  <c r="AD35" i="2" s="1"/>
  <c r="AB28" i="2"/>
  <c r="AD28" i="2" s="1"/>
  <c r="AB5" i="2"/>
  <c r="AD5" i="2" s="1"/>
  <c r="AB8" i="2"/>
  <c r="AD8" i="2" s="1"/>
  <c r="AB13" i="2"/>
  <c r="AD13" i="2" s="1"/>
  <c r="AB25" i="2"/>
  <c r="AD25" i="2" s="1"/>
  <c r="AB43" i="2"/>
  <c r="AD43" i="2" s="1"/>
  <c r="AB19" i="2"/>
  <c r="AD19" i="2" s="1"/>
  <c r="AB15" i="2"/>
  <c r="AD15" i="2" s="1"/>
  <c r="AB24" i="2"/>
  <c r="AD24" i="2" s="1"/>
  <c r="AB17" i="2"/>
  <c r="AD17" i="2" s="1"/>
  <c r="AB12" i="2"/>
  <c r="AD12" i="2" s="1"/>
  <c r="AB27" i="2"/>
  <c r="AD27" i="2" s="1"/>
  <c r="AB9" i="2"/>
  <c r="AD9" i="2" s="1"/>
  <c r="AB37" i="2"/>
  <c r="AD37" i="2" s="1"/>
  <c r="AB21" i="2"/>
  <c r="AD21" i="2" s="1"/>
  <c r="AB42" i="2"/>
  <c r="AD42" i="2" s="1"/>
  <c r="AB4" i="2"/>
  <c r="AD4" i="2" s="1"/>
  <c r="AB39" i="2"/>
  <c r="AD39" i="2" s="1"/>
  <c r="AB29" i="2"/>
  <c r="AD29" i="2" s="1"/>
  <c r="AB23" i="2"/>
  <c r="AD23" i="2" s="1"/>
</calcChain>
</file>

<file path=xl/sharedStrings.xml><?xml version="1.0" encoding="utf-8"?>
<sst xmlns="http://schemas.openxmlformats.org/spreadsheetml/2006/main" count="319" uniqueCount="246">
  <si>
    <t>Vin</t>
  </si>
  <si>
    <t>I(Lrms)</t>
  </si>
  <si>
    <t>f(sw)</t>
  </si>
  <si>
    <t>V</t>
  </si>
  <si>
    <t>A</t>
  </si>
  <si>
    <t>H</t>
  </si>
  <si>
    <t>Hz</t>
  </si>
  <si>
    <t>I(Lpeak)</t>
  </si>
  <si>
    <t>s</t>
  </si>
  <si>
    <t>F</t>
  </si>
  <si>
    <t>mW</t>
  </si>
  <si>
    <t>K</t>
  </si>
  <si>
    <t>Vin(min)</t>
  </si>
  <si>
    <t>Vin(max)</t>
  </si>
  <si>
    <t>Inductor maximum RMS current</t>
  </si>
  <si>
    <t>Inductor series resistance per inductor datasheet</t>
  </si>
  <si>
    <t>Typical switching frequency</t>
  </si>
  <si>
    <t>L1 actual</t>
  </si>
  <si>
    <t>Includes losses from DC resistance drop only</t>
  </si>
  <si>
    <t>Arms</t>
  </si>
  <si>
    <t>Vpp</t>
  </si>
  <si>
    <t>DCR of L1</t>
  </si>
  <si>
    <t>The equivalent output capacitor current ripple spec must be higher than this value.</t>
  </si>
  <si>
    <t>Units</t>
  </si>
  <si>
    <t>Value</t>
  </si>
  <si>
    <t>Description</t>
  </si>
  <si>
    <t>Instructions/Comments</t>
  </si>
  <si>
    <t>f(BW) desired</t>
  </si>
  <si>
    <t>Ω</t>
  </si>
  <si>
    <t>Estimate of body diode voltage of the HSFET</t>
  </si>
  <si>
    <t>Vout</t>
  </si>
  <si>
    <t>effective output capacitance. Need to consider the derating with DC bias voltage when using ceramic cap</t>
  </si>
  <si>
    <t>Should be less than 1/5*fzRPH and 1/10*fsw</t>
  </si>
  <si>
    <t>&lt;=36V</t>
  </si>
  <si>
    <t>Switching frequency setting resistor</t>
  </si>
  <si>
    <t>R2 recommended</t>
  </si>
  <si>
    <t>The equivalent input capacitor current ripple spec must be higher than this value</t>
  </si>
  <si>
    <t>Minimum output capacitance needed for Vout ripple requirement</t>
  </si>
  <si>
    <t>Internal</t>
  </si>
  <si>
    <t>Efficiency estimate. Correct it after getting the calculated efficiency</t>
  </si>
  <si>
    <t>Schematic</t>
  </si>
  <si>
    <t>Component Value</t>
  </si>
  <si>
    <t>No use or internal value</t>
  </si>
  <si>
    <t>Calculated value</t>
  </si>
  <si>
    <t>Register Setting</t>
  </si>
  <si>
    <t>Output current limit setting</t>
  </si>
  <si>
    <t>R1</t>
  </si>
  <si>
    <t>Output current sensing resistor</t>
  </si>
  <si>
    <t>VCC</t>
  </si>
  <si>
    <t>Ω</t>
  </si>
  <si>
    <t>Maximum desired input ripple due to solely to input capacitance at buck mode</t>
  </si>
  <si>
    <t>Cin(min) recommended</t>
  </si>
  <si>
    <t>Cout(min) recommended</t>
  </si>
  <si>
    <t>Cin actual</t>
  </si>
  <si>
    <t>Iout(max)</t>
  </si>
  <si>
    <t>Boost LSFET Rdson</t>
  </si>
  <si>
    <t>Boost LSFET fall time</t>
  </si>
  <si>
    <t>Boost LSFET rise time</t>
  </si>
  <si>
    <t>Boost HSFET Rdson</t>
  </si>
  <si>
    <t>Boost HSFET dead time</t>
  </si>
  <si>
    <t>Boost HSFET diode voltage</t>
  </si>
  <si>
    <t>Buck HSFET Rdson</t>
  </si>
  <si>
    <t>Buck HSFET rise time</t>
  </si>
  <si>
    <t>Buck HSFET fall time</t>
  </si>
  <si>
    <t>Buck LSFET Rdson</t>
  </si>
  <si>
    <t>Buck LSFET dead time</t>
  </si>
  <si>
    <t>Buck LSFET diode voltage</t>
  </si>
  <si>
    <t>Buck HSFET Qg</t>
  </si>
  <si>
    <t>C</t>
  </si>
  <si>
    <t>Buck LSFET Qg</t>
  </si>
  <si>
    <t>Total Qg at Vgs=5V</t>
  </si>
  <si>
    <t>°C</t>
  </si>
  <si>
    <t>Dead time during the switching</t>
  </si>
  <si>
    <t>R5 recommended</t>
  </si>
  <si>
    <t>Inductor DCR Pd</t>
  </si>
  <si>
    <t>Iout(limit)</t>
  </si>
  <si>
    <t>Maximum output current</t>
  </si>
  <si>
    <t>Frequency dithering f(mod)</t>
  </si>
  <si>
    <t>Modulation frequency for spread spectrum</t>
  </si>
  <si>
    <t>C8 recommended</t>
  </si>
  <si>
    <t>Switching Mode at light load</t>
  </si>
  <si>
    <t>User input value</t>
  </si>
  <si>
    <t>Select internal VCC or use external VCC power supply</t>
  </si>
  <si>
    <t>Select Forced PWM or Auto PFM mode at light load</t>
  </si>
  <si>
    <t>Minimum input capacitance needed for Vin ripple requirement</t>
  </si>
  <si>
    <t>L1's minimum recommended inductance value to meet inductor current ripple ratio at boost mode with Vin_min</t>
  </si>
  <si>
    <t>Fraction of maximum average inductor current that is ripple current (0.2-0.6 typically)</t>
  </si>
  <si>
    <t>External CDC voltage ratio</t>
  </si>
  <si>
    <t>ΔVout / (VISP-VISN)</t>
  </si>
  <si>
    <t>mV/mV</t>
  </si>
  <si>
    <t>R3 recommended</t>
  </si>
  <si>
    <t>C7 recommended</t>
  </si>
  <si>
    <t>C7 actual</t>
  </si>
  <si>
    <t>C6 recommended</t>
  </si>
  <si>
    <t>C6 actual</t>
  </si>
  <si>
    <t>R4 recommend</t>
  </si>
  <si>
    <t>Recommended R4 for external CDC setting</t>
  </si>
  <si>
    <t>L1 recommended min</t>
  </si>
  <si>
    <t>fz_comp gain</t>
  </si>
  <si>
    <t>fz_comp phase</t>
  </si>
  <si>
    <t>fzRHP gain</t>
  </si>
  <si>
    <t>fzRHP phase</t>
  </si>
  <si>
    <t>fp1 gain</t>
  </si>
  <si>
    <t>fp1 phase</t>
  </si>
  <si>
    <t>fz_ESR gain</t>
  </si>
  <si>
    <t>fz_ESR phase</t>
  </si>
  <si>
    <t>fp_comp1 gain</t>
  </si>
  <si>
    <t>fp_comp1 phase</t>
  </si>
  <si>
    <t>fp_comp2 gain</t>
  </si>
  <si>
    <t>fp_comp2 phase</t>
  </si>
  <si>
    <t>R3 actual</t>
  </si>
  <si>
    <t>Equivalent ESR if multiple high ESR electrolytic capacitors in parallel</t>
  </si>
  <si>
    <t>fp2 gain</t>
  </si>
  <si>
    <t>fp2 phase</t>
  </si>
  <si>
    <t>°C/W</t>
  </si>
  <si>
    <t>Rsense Pd</t>
  </si>
  <si>
    <t>Capacitance of snubber at boost side</t>
  </si>
  <si>
    <t>Boost snubber Csnubber</t>
  </si>
  <si>
    <t>Rpcb on power path</t>
  </si>
  <si>
    <t>Rpcb Pd</t>
  </si>
  <si>
    <t>C2 actual</t>
  </si>
  <si>
    <t>C3 actual</t>
  </si>
  <si>
    <t>fp_current phase</t>
  </si>
  <si>
    <t>fp_current gain</t>
  </si>
  <si>
    <t>S</t>
  </si>
  <si>
    <t>Error amplifier gm</t>
  </si>
  <si>
    <t>Power stage gm of IL/Vcomp</t>
  </si>
  <si>
    <t>Effective electrolytic capacitance. Need to consider the derating with DC bias voltage</t>
  </si>
  <si>
    <t>Power losses on PCB trace</t>
  </si>
  <si>
    <t>Power Stage</t>
  </si>
  <si>
    <t>Current Close Loop</t>
  </si>
  <si>
    <t>fz_current gain</t>
  </si>
  <si>
    <t>fz_current phase</t>
  </si>
  <si>
    <t>Voltage Open Loop</t>
  </si>
  <si>
    <t>signal frequency</t>
  </si>
  <si>
    <t>loop gain (w/ comp2)</t>
  </si>
  <si>
    <t>loop gain (no comp2)</t>
  </si>
  <si>
    <t>loop phase (no comp2)</t>
  </si>
  <si>
    <t>loop phase (w/ comp2)</t>
  </si>
  <si>
    <t>Frequency</t>
  </si>
  <si>
    <t>Rca</t>
  </si>
  <si>
    <t>Cca</t>
  </si>
  <si>
    <t>gm_ca</t>
  </si>
  <si>
    <t>Vm</t>
  </si>
  <si>
    <t>Inner current loop specifications</t>
  </si>
  <si>
    <t>PCB trace resistance on power path from Vin to Vout cap</t>
  </si>
  <si>
    <t>Buck or Boost?</t>
  </si>
  <si>
    <t>Right half plane zero in boost mode</t>
  </si>
  <si>
    <t>ESR zero of the output cap</t>
  </si>
  <si>
    <t>Power stage pole of Rload and Cout</t>
  </si>
  <si>
    <t>Bode Plot</t>
  </si>
  <si>
    <t>fp_filter gain</t>
  </si>
  <si>
    <t>fp_filter phase</t>
  </si>
  <si>
    <t>fp_comp3 gain</t>
  </si>
  <si>
    <t>fp_comp3 phase</t>
  </si>
  <si>
    <t>FB Input Filter</t>
  </si>
  <si>
    <t>COMP Output Buffer</t>
  </si>
  <si>
    <t>Voltage Loop Compensation (COMP)</t>
  </si>
  <si>
    <t>Calculate open loop compensate at buck mode or boost mode</t>
  </si>
  <si>
    <t>Buck snubber Csnubber</t>
  </si>
  <si>
    <t>Snubber Pd</t>
  </si>
  <si>
    <t>Inductor core &amp; AC Pd</t>
  </si>
  <si>
    <t>I(Lrms) max</t>
  </si>
  <si>
    <t>Inductor RMS current</t>
  </si>
  <si>
    <t>I(Lpeak) max</t>
  </si>
  <si>
    <t>I(Lvalley) max</t>
  </si>
  <si>
    <t>Inductor peak current</t>
  </si>
  <si>
    <t>Inductor valley current</t>
  </si>
  <si>
    <t>Efficiency at Iout_max</t>
  </si>
  <si>
    <t>COMP pin has internal 2k resistor in seriese with R3</t>
  </si>
  <si>
    <t>Bottom resistor value of the external feedback resistor divider</t>
  </si>
  <si>
    <t>ESR of C3</t>
  </si>
  <si>
    <t>Current S/H phase</t>
  </si>
  <si>
    <t>Current S/H gain</t>
  </si>
  <si>
    <t>Effective ceramic capacitance at VOUT. Need to consider the derating with DC bias voltage</t>
  </si>
  <si>
    <t>Unit</t>
  </si>
  <si>
    <t>THIS PROGRAM IS PROVIDED "AS IS". TI MAKES NO WARRANTIES OR REPRESENTATIONS, EITHER EXPRESS, IMPLIED OR STATUTORY, INCLUDING ANY IMPLIED WARRANTIES OF MERCHANTABILITY, FITNESS FOR A PARTICULAR PURPOSE, LACK OF VIRUSES, ACCURACY OR COMPLETENESS OF RESPONSES, RESULTS AND LACK OF NEGLIGENCE. TI DISCLAIMS ANY WARRANTY OF TITLE, QUIET ENJOYMENT, QUIET POSSESSION, AND NON-INFRINGEMENT OF ANY THIRD PARTY INTELLECTUAL PROPERTY RIGHTS WITH REGARD TO THE PROGRAM OR YOUR USE OF THE PROGRAM.</t>
  </si>
  <si>
    <t>IN NO EVENT SHALL TI BE LIABLE FOR ANY SPECIAL, INCIDENTAL, CONSEQUENTIAL OR INDIRECT DAMAGES, HOWEVER CAUSED, ON ANY THEORY OF LIABILITY AND WHETHER OR NOT TI HAS BEEN ADVISED OF THE POSSIBILITY OF SUCH DAMAGES, ARISING IN ANY WAY OUT OF THIS AGREEMENT, THE PROGRAM, OR YOUR USE OF THE PROGRAM.  EXCLUDED DAMAGES INCLUDE, BUT ARE NOT LIMITED TO, COST OF REMOVAL OR REINSTALLATION, COMPUTER TIME, LABOR COSTS, LOSS OF GOODWILL, LOSS OF PROFITS, LOSS OF SAVINGS, OR LOSS OF USE OR INTERRUPTION OF BUSINESS. IN NO EVENT WILL TI'S AGGREGATE LIABILITY UNDER THIS AGREEMENT OR ARISING OUT OF YOUR USE OF THE PROGRAM EXCEED FIVE HUNDRED DOLLARS (U.S.$500).</t>
  </si>
  <si>
    <t>Unless otherwise stated, the Program written and copyrighted by Texas Instruments is distributed as "freeware".  You may, only under TI's copyright in the Program, use and modify the Program without any charge or restriction.  You may distribute to third parties, provided that you transfer a copy of this license to the third party and the third party agrees to these terms by its first use of the Program. You must reproduce the copyright notice and any other legend of ownership on each copy or partial copy, of the Program.</t>
  </si>
  <si>
    <t>You acknowledge and agree that the Program contains copyrighted material, trade secrets and other TI proprietary information and is protected by copyright laws, international copyright treaties, and trade secret laws, as well as other intellectual property laws.  To protect TI's rights in the Program, you agree not to decompile, reverse engineer, disassemble or otherwise translate any object code versions of the Program to a human-readable form.  You agree that in no event will you alter, remove or destroy any copyright notice included in the Program.  TI reserves all rights not specifically granted under this license. Except as specifically provided herein, nothing in this agreement shall be construed as conferring by implication, estoppel, or otherwise, upon you, any license or other right under any TI patents, copyrights or trade secrets.</t>
  </si>
  <si>
    <t>Buck LSFET Qrr</t>
  </si>
  <si>
    <t>Reverse recovery charge of the low side FET</t>
  </si>
  <si>
    <t>Loop Compensation Calculation in FPWM CCM mode</t>
  </si>
  <si>
    <t>Have internal 3pF cap between COMP and GND</t>
  </si>
  <si>
    <t>Check both buck and boost mode by changing Vin and Vout. The loop must have enough phase margin and gain margin</t>
  </si>
  <si>
    <t>Maximum desired output ripple solely due to output capacitance (ignores ESR)</t>
  </si>
  <si>
    <t>Average Inductor Limit</t>
  </si>
  <si>
    <t>Capacitance of snubber at buck side</t>
  </si>
  <si>
    <t>Cout Pd</t>
  </si>
  <si>
    <t>Power loss on output current sense resistor</t>
  </si>
  <si>
    <t>Power loss on snubber</t>
  </si>
  <si>
    <t>Power loss on ESR of the output capacitor in boost mode</t>
  </si>
  <si>
    <t>Vin for efficiency estimation at desired Vout and Iout(max)</t>
  </si>
  <si>
    <t>Estimate of SW1 node 10-90% rise time from measurement</t>
  </si>
  <si>
    <t>Estimate of SW1 node 10-90% fall time from measurement</t>
  </si>
  <si>
    <r>
      <t>Up resistor value of the extenral feedback resistor value. It is recommended to 100k</t>
    </r>
    <r>
      <rPr>
        <sz val="10"/>
        <rFont val="Arial"/>
        <family val="2"/>
      </rPr>
      <t>Ω</t>
    </r>
  </si>
  <si>
    <r>
      <t>m</t>
    </r>
    <r>
      <rPr>
        <sz val="10"/>
        <rFont val="Arial"/>
        <family val="2"/>
      </rPr>
      <t>Ω</t>
    </r>
  </si>
  <si>
    <r>
      <rPr>
        <sz val="10"/>
        <rFont val="Arial"/>
        <family val="2"/>
      </rPr>
      <t>ΔIin(Cin_rms)</t>
    </r>
  </si>
  <si>
    <r>
      <rPr>
        <sz val="10"/>
        <rFont val="Arial"/>
        <family val="2"/>
      </rPr>
      <t>ΔVin(pk-pk)</t>
    </r>
  </si>
  <si>
    <r>
      <rPr>
        <sz val="10"/>
        <rFont val="Arial"/>
        <family val="2"/>
      </rPr>
      <t>ΘJA</t>
    </r>
  </si>
  <si>
    <r>
      <t xml:space="preserve">The top case temperature of IC is very close to the Junction temperature because </t>
    </r>
    <r>
      <rPr>
        <sz val="10"/>
        <rFont val="Arial"/>
        <family val="2"/>
      </rPr>
      <t>ΨJT=0.6°C/W</t>
    </r>
  </si>
  <si>
    <r>
      <rPr>
        <sz val="10"/>
        <rFont val="Calibri"/>
        <family val="2"/>
      </rPr>
      <t>Δ</t>
    </r>
    <r>
      <rPr>
        <sz val="10"/>
        <rFont val="Arial"/>
        <family val="2"/>
      </rPr>
      <t>Iout(Cout_rms)</t>
    </r>
  </si>
  <si>
    <r>
      <rPr>
        <sz val="10"/>
        <rFont val="Calibri"/>
        <family val="2"/>
      </rPr>
      <t>Δ</t>
    </r>
    <r>
      <rPr>
        <sz val="10"/>
        <rFont val="Arial"/>
        <family val="2"/>
      </rPr>
      <t>Vout(pk-pk)</t>
    </r>
  </si>
  <si>
    <t>Estimate of SW node 10-90% rise time from measurement</t>
  </si>
  <si>
    <t>Estimate of SW node 10-90% fall time from measurement</t>
  </si>
  <si>
    <r>
      <rPr>
        <sz val="10"/>
        <rFont val="Calibri"/>
        <family val="2"/>
      </rPr>
      <t>η</t>
    </r>
    <r>
      <rPr>
        <sz val="10"/>
        <rFont val="Arial"/>
        <family val="2"/>
      </rPr>
      <t xml:space="preserve"> estimate</t>
    </r>
  </si>
  <si>
    <r>
      <rPr>
        <sz val="10"/>
        <rFont val="Calibri"/>
        <family val="2"/>
      </rPr>
      <t>η</t>
    </r>
    <r>
      <rPr>
        <sz val="10"/>
        <rFont val="Arial"/>
        <family val="2"/>
      </rPr>
      <t xml:space="preserve"> - calculated</t>
    </r>
  </si>
  <si>
    <t>I(Lvalley)</t>
  </si>
  <si>
    <t>The inductor (L1) is recommended to have saturation current rating 30% higher than this value.</t>
  </si>
  <si>
    <t>Efficiency in buck CCM mode or boost CCM mode with maximum Iout</t>
  </si>
  <si>
    <t>fp_PS</t>
  </si>
  <si>
    <t>gm_PS</t>
  </si>
  <si>
    <t>gm_EA</t>
  </si>
  <si>
    <t>fz_COMP</t>
  </si>
  <si>
    <t>fz_RHP</t>
  </si>
  <si>
    <t>fz_ESR</t>
  </si>
  <si>
    <t>fp2_COMP</t>
  </si>
  <si>
    <t>Loop compensation zero frequency</t>
  </si>
  <si>
    <t>Set the compensation fz = fco/10</t>
  </si>
  <si>
    <t>Buck HSFET Coss</t>
  </si>
  <si>
    <t>HSFET output capacitance when VDS=VIN</t>
  </si>
  <si>
    <t>The lower zero of the Cout's ESR zero and boost right half plane zero should be cancelled by the R3*(C6*C7/(C6+C7)) pole.</t>
  </si>
  <si>
    <t>TI Information - Selective Disclosure. You may not use the Program in non-TI devices.</t>
  </si>
  <si>
    <t>&gt;=3.0V</t>
  </si>
  <si>
    <t xml:space="preserve">MODE </t>
  </si>
  <si>
    <t>EXTVCC</t>
  </si>
  <si>
    <t>EXTVCC pin input logic status</t>
  </si>
  <si>
    <t>MODE pin input logic status</t>
  </si>
  <si>
    <t>R6 recommended</t>
  </si>
  <si>
    <t>Core and AC loss of inductor. Use inductor vendor's formula to estimate. 521mW is the power loss of XAL7070-472 running at 400kHz with Ilrms=5.32A and Ilripple=2.63A at 400kHz.</t>
  </si>
  <si>
    <t>FPWM</t>
  </si>
  <si>
    <t>Design Tool for TPS552892</t>
  </si>
  <si>
    <t>Must be lower than or equal to 22V</t>
  </si>
  <si>
    <t>Buck HSFET on-resistance in TPS552892 is 14mΩ at 25°C. Temperature coefficient is 0.4%/°C. Correct it when at high Tj</t>
  </si>
  <si>
    <t>Boost LSFET on-resistance in TPS552892 is 11mΩ at 25°C. Temperature coefficient is 0.4%/°C. Correct it when at high Tj</t>
  </si>
  <si>
    <t>TPS552892 Pd</t>
  </si>
  <si>
    <t xml:space="preserve">TPS552892 junction to ambient thermal resistance on EVM. The actual ΘJA depends on the PCB design. </t>
  </si>
  <si>
    <t>This tool is designed to aid the user in designing the TPS552892 buck-boost converter. Refer to TPS552892 datasheet for detail design precedure and all equations.</t>
  </si>
  <si>
    <t>Buck LSFET on-resistance in TPS552892 is 22mΩ at 25°C. Temperature coefficient is 0.4%/°C. Correct it when at high Tj</t>
  </si>
  <si>
    <t>Boost HSFET on-resistance in TPS552892 is 10mΩ at 25°C. Temperature coefficient is 0.4%/°C. Correct it when at high Tj</t>
  </si>
  <si>
    <t>Power loss on TPS552892</t>
  </si>
  <si>
    <t>TPS552892 temperature rise</t>
  </si>
  <si>
    <t>V1.0 (04/26/2023)</t>
  </si>
  <si>
    <r>
      <t xml:space="preserve">Desired typical average inductor current limit. </t>
    </r>
    <r>
      <rPr>
        <sz val="10"/>
        <rFont val="Calibri"/>
        <family val="2"/>
      </rPr>
      <t>±1A tolerance</t>
    </r>
  </si>
  <si>
    <t>I(Laverage) max</t>
  </si>
  <si>
    <t>The inductor average current at minmum Vin.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</si>
</sst>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E+00"/>
    <numFmt numFmtId="167" formatCode="0.0000"/>
    <numFmt numFmtId="168" formatCode="#,##0.000"/>
  </numFmts>
  <fonts count="15">
    <font>
      <sz val="10"/>
      <name val="Arial"/>
      <family val="2"/>
    </font>
    <font>
      <sz val="10"/>
      <name val="Arial"/>
      <family val="2"/>
    </font>
    <font>
      <sz val="8"/>
      <name val="Arial"/>
      <family val="2"/>
    </font>
    <font>
      <sz val="10"/>
      <name val="Symbol"/>
      <family val="1"/>
      <charset val="2"/>
    </font>
    <font>
      <sz val="10"/>
      <color indexed="10"/>
      <name val="Arial"/>
      <family val="2"/>
    </font>
    <font>
      <b/>
      <sz val="10"/>
      <name val="Arial"/>
      <family val="2"/>
    </font>
    <font>
      <sz val="10"/>
      <color indexed="53"/>
      <name val="Arial"/>
      <family val="2"/>
    </font>
    <font>
      <b/>
      <sz val="12"/>
      <name val="Arial"/>
      <family val="2"/>
    </font>
    <font>
      <b/>
      <sz val="11"/>
      <name val="Arial"/>
      <family val="2"/>
    </font>
    <font>
      <b/>
      <i/>
      <sz val="10"/>
      <color indexed="53"/>
      <name val="Arial"/>
      <family val="2"/>
    </font>
    <font>
      <sz val="10"/>
      <name val="Calibri"/>
      <family val="2"/>
    </font>
    <font>
      <sz val="10"/>
      <name val="Arial Unicode MS"/>
      <family val="2"/>
    </font>
    <font>
      <sz val="10"/>
      <color theme="0"/>
      <name val="Arial"/>
      <family val="2"/>
    </font>
    <font>
      <b/>
      <sz val="10"/>
      <color theme="0"/>
      <name val="Arial"/>
      <family val="2"/>
    </font>
    <font>
      <sz val="10"/>
      <color theme="0"/>
      <name val="Symbol"/>
      <family val="1"/>
      <charset val="2"/>
    </font>
  </fonts>
  <fills count="11">
    <fill>
      <patternFill patternType="none"/>
    </fill>
    <fill>
      <patternFill patternType="gray125"/>
    </fill>
    <fill>
      <patternFill patternType="solid">
        <fgColor indexed="10"/>
        <bgColor indexed="64"/>
      </patternFill>
    </fill>
    <fill>
      <patternFill patternType="solid">
        <fgColor theme="0"/>
        <bgColor indexed="64"/>
      </patternFill>
    </fill>
    <fill>
      <patternFill patternType="solid">
        <fgColor rgb="FF00FF00"/>
        <bgColor indexed="64"/>
      </patternFill>
    </fill>
    <fill>
      <patternFill patternType="solid">
        <fgColor rgb="FFFF00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n">
        <color indexed="64"/>
      </right>
      <top style="thin">
        <color indexed="64"/>
      </top>
      <bottom style="thin">
        <color indexed="64"/>
      </bottom>
      <diagonal/>
    </border>
    <border>
      <left style="thick">
        <color auto="1"/>
      </left>
      <right/>
      <top style="thin">
        <color indexed="64"/>
      </top>
      <bottom style="thin">
        <color indexed="64"/>
      </bottom>
      <diagonal/>
    </border>
    <border>
      <left/>
      <right/>
      <top/>
      <bottom style="thick">
        <color auto="1"/>
      </bottom>
      <diagonal/>
    </border>
    <border>
      <left/>
      <right style="thick">
        <color auto="1"/>
      </right>
      <top/>
      <bottom style="thick">
        <color auto="1"/>
      </bottom>
      <diagonal/>
    </border>
    <border>
      <left style="thin">
        <color indexed="64"/>
      </left>
      <right/>
      <top/>
      <bottom/>
      <diagonal/>
    </border>
    <border>
      <left style="thick">
        <color auto="1"/>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style="thin">
        <color indexed="64"/>
      </bottom>
      <diagonal/>
    </border>
    <border>
      <left style="thick">
        <color auto="1"/>
      </left>
      <right style="thin">
        <color indexed="64"/>
      </right>
      <top/>
      <bottom style="thick">
        <color auto="1"/>
      </bottom>
      <diagonal/>
    </border>
    <border>
      <left style="thin">
        <color indexed="64"/>
      </left>
      <right style="thin">
        <color indexed="64"/>
      </right>
      <top/>
      <bottom style="thick">
        <color auto="1"/>
      </bottom>
      <diagonal/>
    </border>
    <border>
      <left style="thick">
        <color auto="1"/>
      </left>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indexed="64"/>
      </left>
      <right/>
      <top style="thick">
        <color auto="1"/>
      </top>
      <bottom/>
      <diagonal/>
    </border>
    <border>
      <left style="thin">
        <color indexed="64"/>
      </left>
      <right/>
      <top/>
      <bottom style="thick">
        <color auto="1"/>
      </bottom>
      <diagonal/>
    </border>
    <border>
      <left/>
      <right style="thin">
        <color indexed="64"/>
      </right>
      <top style="thick">
        <color auto="1"/>
      </top>
      <bottom/>
      <diagonal/>
    </border>
    <border>
      <left/>
      <right style="thin">
        <color indexed="64"/>
      </right>
      <top/>
      <bottom/>
      <diagonal/>
    </border>
    <border>
      <left/>
      <right style="thin">
        <color indexed="64"/>
      </right>
      <top/>
      <bottom style="thick">
        <color auto="1"/>
      </bottom>
      <diagonal/>
    </border>
    <border>
      <left style="thick">
        <color auto="1"/>
      </left>
      <right style="thin">
        <color indexed="64"/>
      </right>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theme="1"/>
      </right>
      <top style="thin">
        <color indexed="64"/>
      </top>
      <bottom style="thin">
        <color indexed="64"/>
      </bottom>
      <diagonal/>
    </border>
    <border>
      <left/>
      <right style="thin">
        <color theme="0"/>
      </right>
      <top style="thin">
        <color theme="0"/>
      </top>
      <bottom style="thin">
        <color theme="0"/>
      </bottom>
      <diagonal/>
    </border>
    <border>
      <left style="thin">
        <color indexed="64"/>
      </left>
      <right style="thin">
        <color theme="1"/>
      </right>
      <top style="thin">
        <color indexed="64"/>
      </top>
      <bottom/>
      <diagonal/>
    </border>
    <border>
      <left style="thin">
        <color indexed="64"/>
      </left>
      <right style="thin">
        <color theme="1"/>
      </right>
      <top/>
      <bottom style="thin">
        <color indexed="64"/>
      </bottom>
      <diagonal/>
    </border>
    <border>
      <left style="thin">
        <color theme="0"/>
      </left>
      <right/>
      <top style="thin">
        <color theme="0"/>
      </top>
      <bottom style="thin">
        <color theme="0"/>
      </bottom>
      <diagonal/>
    </border>
    <border>
      <left style="thick">
        <color theme="1"/>
      </left>
      <right/>
      <top/>
      <bottom/>
      <diagonal/>
    </border>
  </borders>
  <cellStyleXfs count="2">
    <xf numFmtId="0" fontId="0" fillId="0" borderId="0"/>
    <xf numFmtId="9" fontId="1" fillId="0" borderId="0" applyFont="0" applyFill="0" applyBorder="0" applyAlignment="0" applyProtection="0"/>
  </cellStyleXfs>
  <cellXfs count="168">
    <xf numFmtId="0" fontId="0" fillId="0" borderId="0" xfId="0"/>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xf numFmtId="167" fontId="0" fillId="0" borderId="0" xfId="0" applyNumberFormat="1"/>
    <xf numFmtId="167" fontId="0" fillId="0" borderId="8" xfId="0" applyNumberFormat="1" applyBorder="1"/>
    <xf numFmtId="0" fontId="0" fillId="0" borderId="20" xfId="0" applyBorder="1"/>
    <xf numFmtId="167" fontId="0" fillId="0" borderId="11" xfId="0" applyNumberFormat="1" applyBorder="1"/>
    <xf numFmtId="0" fontId="0" fillId="0" borderId="0" xfId="0" applyAlignment="1">
      <alignment wrapText="1"/>
    </xf>
    <xf numFmtId="0" fontId="10" fillId="0" borderId="0" xfId="0" applyFont="1"/>
    <xf numFmtId="0" fontId="0" fillId="0" borderId="24" xfId="0" applyBorder="1" applyAlignment="1">
      <alignment wrapText="1"/>
    </xf>
    <xf numFmtId="167" fontId="0" fillId="0" borderId="13" xfId="0" applyNumberFormat="1" applyBorder="1"/>
    <xf numFmtId="167" fontId="0" fillId="0" borderId="25" xfId="0" applyNumberFormat="1" applyBorder="1"/>
    <xf numFmtId="0" fontId="0" fillId="0" borderId="26" xfId="0" applyBorder="1" applyAlignment="1">
      <alignment wrapText="1"/>
    </xf>
    <xf numFmtId="167" fontId="0" fillId="0" borderId="27" xfId="0" applyNumberFormat="1" applyBorder="1"/>
    <xf numFmtId="167" fontId="0" fillId="0" borderId="28" xfId="0" applyNumberFormat="1" applyBorder="1"/>
    <xf numFmtId="167" fontId="0" fillId="0" borderId="12" xfId="0" applyNumberFormat="1" applyBorder="1"/>
    <xf numFmtId="3" fontId="0" fillId="9" borderId="0" xfId="0" applyNumberFormat="1" applyFill="1"/>
    <xf numFmtId="3" fontId="0" fillId="0" borderId="0" xfId="0" applyNumberFormat="1"/>
    <xf numFmtId="3" fontId="0" fillId="9" borderId="11" xfId="0" applyNumberFormat="1" applyFill="1" applyBorder="1"/>
    <xf numFmtId="0" fontId="0" fillId="0" borderId="0" xfId="0" applyAlignment="1">
      <alignment horizontal="center" wrapText="1"/>
    </xf>
    <xf numFmtId="1" fontId="0" fillId="4" borderId="1" xfId="0" applyNumberFormat="1" applyFill="1" applyBorder="1" applyProtection="1">
      <protection locked="0"/>
    </xf>
    <xf numFmtId="164" fontId="0" fillId="4" borderId="1" xfId="0" applyNumberFormat="1" applyFill="1" applyBorder="1" applyProtection="1">
      <protection locked="0"/>
    </xf>
    <xf numFmtId="0" fontId="11" fillId="0" borderId="0" xfId="0" applyFont="1" applyAlignment="1">
      <alignment wrapText="1"/>
    </xf>
    <xf numFmtId="1" fontId="0" fillId="10" borderId="1" xfId="0" applyNumberFormat="1" applyFill="1" applyBorder="1" applyProtection="1">
      <protection hidden="1"/>
    </xf>
    <xf numFmtId="1" fontId="0" fillId="10" borderId="15" xfId="0" applyNumberFormat="1" applyFill="1" applyBorder="1" applyProtection="1">
      <protection hidden="1"/>
    </xf>
    <xf numFmtId="165" fontId="0" fillId="10" borderId="15" xfId="0" applyNumberFormat="1" applyFill="1" applyBorder="1" applyProtection="1">
      <protection hidden="1"/>
    </xf>
    <xf numFmtId="164" fontId="0" fillId="10" borderId="19" xfId="0" applyNumberFormat="1" applyFill="1" applyBorder="1" applyProtection="1">
      <protection hidden="1"/>
    </xf>
    <xf numFmtId="0" fontId="0" fillId="4" borderId="1" xfId="0" applyFill="1" applyBorder="1" applyProtection="1">
      <protection locked="0"/>
    </xf>
    <xf numFmtId="164" fontId="0" fillId="4" borderId="1" xfId="0" applyNumberFormat="1" applyFill="1" applyBorder="1" applyAlignment="1" applyProtection="1">
      <alignment horizontal="right"/>
      <protection locked="0"/>
    </xf>
    <xf numFmtId="1" fontId="0" fillId="10" borderId="1" xfId="0" applyNumberFormat="1" applyFill="1" applyBorder="1" applyAlignment="1" applyProtection="1">
      <alignment horizontal="right"/>
      <protection hidden="1"/>
    </xf>
    <xf numFmtId="164" fontId="0" fillId="6" borderId="1" xfId="0" applyNumberFormat="1" applyFill="1" applyBorder="1" applyProtection="1">
      <protection locked="0"/>
    </xf>
    <xf numFmtId="164" fontId="0" fillId="6" borderId="1" xfId="0" applyNumberFormat="1" applyFill="1" applyBorder="1" applyProtection="1">
      <protection hidden="1"/>
    </xf>
    <xf numFmtId="2" fontId="0" fillId="10" borderId="1" xfId="0" applyNumberFormat="1" applyFill="1" applyBorder="1" applyProtection="1">
      <protection hidden="1"/>
    </xf>
    <xf numFmtId="3" fontId="0" fillId="4" borderId="1" xfId="0" applyNumberFormat="1" applyFill="1" applyBorder="1" applyProtection="1">
      <protection locked="0"/>
    </xf>
    <xf numFmtId="3" fontId="0" fillId="10" borderId="1" xfId="0" applyNumberFormat="1" applyFill="1" applyBorder="1" applyProtection="1">
      <protection hidden="1"/>
    </xf>
    <xf numFmtId="166" fontId="0" fillId="10" borderId="1" xfId="0" applyNumberFormat="1" applyFill="1" applyBorder="1" applyProtection="1">
      <protection hidden="1"/>
    </xf>
    <xf numFmtId="4" fontId="0" fillId="4" borderId="1" xfId="0" applyNumberFormat="1" applyFill="1" applyBorder="1" applyProtection="1">
      <protection locked="0"/>
    </xf>
    <xf numFmtId="11" fontId="0" fillId="10" borderId="1" xfId="0" applyNumberFormat="1" applyFill="1" applyBorder="1" applyProtection="1">
      <protection hidden="1"/>
    </xf>
    <xf numFmtId="11" fontId="0" fillId="4" borderId="1" xfId="0" applyNumberFormat="1" applyFill="1" applyBorder="1" applyProtection="1">
      <protection locked="0"/>
    </xf>
    <xf numFmtId="1" fontId="0" fillId="4" borderId="1" xfId="0" applyNumberFormat="1" applyFill="1" applyBorder="1" applyAlignment="1" applyProtection="1">
      <alignment horizontal="right"/>
      <protection locked="0"/>
    </xf>
    <xf numFmtId="1" fontId="0" fillId="4" borderId="1" xfId="0" applyNumberFormat="1" applyFill="1" applyBorder="1" applyAlignment="1" applyProtection="1">
      <alignment horizontal="right"/>
      <protection hidden="1"/>
    </xf>
    <xf numFmtId="1" fontId="0" fillId="6" borderId="1" xfId="0" applyNumberFormat="1" applyFill="1" applyBorder="1" applyAlignment="1" applyProtection="1">
      <alignment horizontal="right"/>
      <protection hidden="1"/>
    </xf>
    <xf numFmtId="11" fontId="0" fillId="10" borderId="1" xfId="0" applyNumberFormat="1" applyFill="1" applyBorder="1" applyAlignment="1" applyProtection="1">
      <alignment horizontal="right"/>
      <protection hidden="1"/>
    </xf>
    <xf numFmtId="11" fontId="0" fillId="4" borderId="15" xfId="0" applyNumberFormat="1" applyFill="1" applyBorder="1" applyProtection="1">
      <protection locked="0"/>
    </xf>
    <xf numFmtId="2" fontId="0" fillId="10" borderId="15" xfId="0" applyNumberFormat="1" applyFill="1" applyBorder="1" applyProtection="1">
      <protection hidden="1"/>
    </xf>
    <xf numFmtId="166" fontId="0" fillId="4" borderId="1" xfId="0" applyNumberFormat="1" applyFill="1" applyBorder="1" applyProtection="1">
      <protection locked="0"/>
    </xf>
    <xf numFmtId="0" fontId="6" fillId="2" borderId="0" xfId="0" applyFont="1" applyFill="1" applyProtection="1">
      <protection hidden="1"/>
    </xf>
    <xf numFmtId="0" fontId="0" fillId="2" borderId="0" xfId="0" applyFill="1" applyProtection="1">
      <protection hidden="1"/>
    </xf>
    <xf numFmtId="0" fontId="0" fillId="5" borderId="0" xfId="0" applyFill="1" applyProtection="1">
      <protection hidden="1"/>
    </xf>
    <xf numFmtId="0" fontId="0" fillId="0" borderId="0" xfId="0" applyProtection="1">
      <protection hidden="1"/>
    </xf>
    <xf numFmtId="0" fontId="0" fillId="3" borderId="7" xfId="0" applyFill="1" applyBorder="1" applyAlignment="1" applyProtection="1">
      <alignment horizontal="center"/>
      <protection hidden="1"/>
    </xf>
    <xf numFmtId="0" fontId="0" fillId="3" borderId="0" xfId="0" applyFill="1" applyAlignment="1" applyProtection="1">
      <alignment horizontal="center"/>
      <protection hidden="1"/>
    </xf>
    <xf numFmtId="0" fontId="0" fillId="3" borderId="0" xfId="0" applyFill="1" applyProtection="1">
      <protection hidden="1"/>
    </xf>
    <xf numFmtId="0" fontId="0" fillId="3" borderId="8" xfId="0" applyFill="1" applyBorder="1" applyProtection="1">
      <protection hidden="1"/>
    </xf>
    <xf numFmtId="0" fontId="0" fillId="3" borderId="7" xfId="0" applyFill="1" applyBorder="1" applyProtection="1">
      <protection hidden="1"/>
    </xf>
    <xf numFmtId="0" fontId="0" fillId="4" borderId="0" xfId="0" applyFill="1" applyProtection="1">
      <protection hidden="1"/>
    </xf>
    <xf numFmtId="0" fontId="8" fillId="3" borderId="0" xfId="0" applyFont="1" applyFill="1" applyProtection="1">
      <protection hidden="1"/>
    </xf>
    <xf numFmtId="0" fontId="7" fillId="3" borderId="0" xfId="0" applyFont="1" applyFill="1" applyProtection="1">
      <protection hidden="1"/>
    </xf>
    <xf numFmtId="0" fontId="0" fillId="10" borderId="0" xfId="0" applyFill="1" applyProtection="1">
      <protection hidden="1"/>
    </xf>
    <xf numFmtId="0" fontId="0" fillId="6" borderId="0" xfId="0" applyFill="1" applyProtection="1">
      <protection hidden="1"/>
    </xf>
    <xf numFmtId="0" fontId="5" fillId="7" borderId="9" xfId="0" applyFont="1" applyFill="1" applyBorder="1" applyProtection="1">
      <protection hidden="1"/>
    </xf>
    <xf numFmtId="0" fontId="5" fillId="7" borderId="1" xfId="0" applyFont="1" applyFill="1" applyBorder="1" applyProtection="1">
      <protection hidden="1"/>
    </xf>
    <xf numFmtId="0" fontId="5" fillId="3" borderId="13" xfId="0" applyFont="1" applyFill="1" applyBorder="1" applyAlignment="1" applyProtection="1">
      <alignment vertical="center"/>
      <protection hidden="1"/>
    </xf>
    <xf numFmtId="0" fontId="5" fillId="3" borderId="0" xfId="0" applyFont="1" applyFill="1" applyAlignment="1" applyProtection="1">
      <alignment vertical="center"/>
      <protection hidden="1"/>
    </xf>
    <xf numFmtId="0" fontId="5" fillId="3" borderId="8" xfId="0" applyFont="1" applyFill="1" applyBorder="1" applyAlignment="1" applyProtection="1">
      <alignment vertical="center"/>
      <protection hidden="1"/>
    </xf>
    <xf numFmtId="0" fontId="0" fillId="3" borderId="9" xfId="0" applyFill="1" applyBorder="1" applyProtection="1">
      <protection hidden="1"/>
    </xf>
    <xf numFmtId="0" fontId="0" fillId="3" borderId="1" xfId="0" applyFill="1" applyBorder="1" applyProtection="1">
      <protection hidden="1"/>
    </xf>
    <xf numFmtId="0" fontId="0" fillId="3" borderId="1" xfId="0" applyFill="1" applyBorder="1" applyAlignment="1" applyProtection="1">
      <alignment wrapText="1"/>
      <protection hidden="1"/>
    </xf>
    <xf numFmtId="0" fontId="9" fillId="3" borderId="9" xfId="0" applyFont="1" applyFill="1" applyBorder="1" applyProtection="1">
      <protection hidden="1"/>
    </xf>
    <xf numFmtId="0" fontId="0" fillId="3" borderId="0" xfId="0" applyFill="1" applyAlignment="1" applyProtection="1">
      <alignment wrapText="1"/>
      <protection hidden="1"/>
    </xf>
    <xf numFmtId="0" fontId="4" fillId="3" borderId="0" xfId="0" applyFont="1" applyFill="1" applyProtection="1">
      <protection hidden="1"/>
    </xf>
    <xf numFmtId="1" fontId="4" fillId="3" borderId="0" xfId="0" applyNumberFormat="1" applyFont="1" applyFill="1" applyProtection="1">
      <protection hidden="1"/>
    </xf>
    <xf numFmtId="0" fontId="0" fillId="3" borderId="9" xfId="0" applyFill="1" applyBorder="1" applyAlignment="1" applyProtection="1">
      <alignment wrapText="1"/>
      <protection hidden="1"/>
    </xf>
    <xf numFmtId="0" fontId="6" fillId="5" borderId="0" xfId="0" applyFont="1" applyFill="1" applyProtection="1">
      <protection hidden="1"/>
    </xf>
    <xf numFmtId="11" fontId="0" fillId="6" borderId="1" xfId="0" applyNumberFormat="1" applyFill="1" applyBorder="1" applyProtection="1">
      <protection hidden="1"/>
    </xf>
    <xf numFmtId="0" fontId="0" fillId="3" borderId="14" xfId="0" applyFill="1" applyBorder="1" applyProtection="1">
      <protection hidden="1"/>
    </xf>
    <xf numFmtId="0" fontId="0" fillId="3" borderId="15" xfId="0" applyFill="1" applyBorder="1" applyProtection="1">
      <protection hidden="1"/>
    </xf>
    <xf numFmtId="0" fontId="0" fillId="0" borderId="1" xfId="0" applyBorder="1" applyAlignment="1" applyProtection="1">
      <alignment horizontal="left" vertical="center"/>
      <protection hidden="1"/>
    </xf>
    <xf numFmtId="0" fontId="3" fillId="3" borderId="0" xfId="0" applyFont="1" applyFill="1" applyProtection="1">
      <protection hidden="1"/>
    </xf>
    <xf numFmtId="0" fontId="0" fillId="3" borderId="14" xfId="0" applyFill="1" applyBorder="1" applyAlignment="1" applyProtection="1">
      <alignment wrapText="1"/>
      <protection hidden="1"/>
    </xf>
    <xf numFmtId="0" fontId="0" fillId="3" borderId="15" xfId="0" applyFill="1" applyBorder="1" applyAlignment="1" applyProtection="1">
      <alignment wrapText="1"/>
      <protection hidden="1"/>
    </xf>
    <xf numFmtId="0" fontId="0" fillId="3" borderId="18" xfId="0" applyFill="1" applyBorder="1" applyProtection="1">
      <protection hidden="1"/>
    </xf>
    <xf numFmtId="0" fontId="0" fillId="3" borderId="19" xfId="0" applyFill="1" applyBorder="1" applyProtection="1">
      <protection hidden="1"/>
    </xf>
    <xf numFmtId="0" fontId="0" fillId="3" borderId="19" xfId="0" applyFill="1" applyBorder="1" applyAlignment="1" applyProtection="1">
      <alignment wrapText="1"/>
      <protection hidden="1"/>
    </xf>
    <xf numFmtId="0" fontId="0" fillId="3" borderId="11" xfId="0" applyFill="1" applyBorder="1" applyProtection="1">
      <protection hidden="1"/>
    </xf>
    <xf numFmtId="0" fontId="0" fillId="3" borderId="12" xfId="0" applyFill="1" applyBorder="1" applyProtection="1">
      <protection hidden="1"/>
    </xf>
    <xf numFmtId="165" fontId="0" fillId="5" borderId="0" xfId="0" applyNumberFormat="1" applyFill="1" applyProtection="1">
      <protection hidden="1"/>
    </xf>
    <xf numFmtId="0" fontId="0" fillId="5" borderId="0" xfId="0" applyFill="1" applyAlignment="1" applyProtection="1">
      <alignment wrapText="1"/>
      <protection hidden="1"/>
    </xf>
    <xf numFmtId="0" fontId="6" fillId="0" borderId="0" xfId="0" applyFont="1" applyProtection="1">
      <protection hidden="1"/>
    </xf>
    <xf numFmtId="167" fontId="0" fillId="0" borderId="0" xfId="0" applyNumberFormat="1" applyProtection="1">
      <protection hidden="1"/>
    </xf>
    <xf numFmtId="2" fontId="0" fillId="0" borderId="0" xfId="0" applyNumberFormat="1" applyProtection="1">
      <protection hidden="1"/>
    </xf>
    <xf numFmtId="2" fontId="0" fillId="4" borderId="1" xfId="0" applyNumberFormat="1" applyFill="1" applyBorder="1" applyProtection="1">
      <protection locked="0"/>
    </xf>
    <xf numFmtId="164" fontId="0" fillId="6" borderId="1" xfId="0" applyNumberFormat="1" applyFill="1" applyBorder="1"/>
    <xf numFmtId="11" fontId="0" fillId="6" borderId="1" xfId="0" applyNumberFormat="1" applyFill="1" applyBorder="1" applyProtection="1">
      <protection locked="0"/>
    </xf>
    <xf numFmtId="0" fontId="12" fillId="3" borderId="0" xfId="0" applyFont="1" applyFill="1" applyProtection="1">
      <protection hidden="1"/>
    </xf>
    <xf numFmtId="0" fontId="12" fillId="0" borderId="0" xfId="0" applyFont="1" applyAlignment="1" applyProtection="1">
      <alignment wrapText="1"/>
      <protection hidden="1"/>
    </xf>
    <xf numFmtId="0" fontId="12" fillId="0" borderId="0" xfId="0" applyFont="1" applyProtection="1">
      <protection hidden="1"/>
    </xf>
    <xf numFmtId="0" fontId="12" fillId="0" borderId="8" xfId="0" applyFont="1" applyBorder="1" applyProtection="1">
      <protection hidden="1"/>
    </xf>
    <xf numFmtId="0" fontId="13" fillId="0" borderId="31" xfId="0" applyFont="1" applyBorder="1" applyAlignment="1" applyProtection="1">
      <alignment horizontal="center" vertical="center" wrapText="1"/>
      <protection hidden="1"/>
    </xf>
    <xf numFmtId="0" fontId="13" fillId="0" borderId="31" xfId="0" applyFont="1" applyBorder="1" applyAlignment="1" applyProtection="1">
      <alignment horizontal="center" vertical="center"/>
      <protection hidden="1"/>
    </xf>
    <xf numFmtId="1" fontId="13" fillId="0" borderId="31" xfId="0" applyNumberFormat="1" applyFont="1" applyBorder="1" applyAlignment="1" applyProtection="1">
      <alignment horizontal="center" vertical="center"/>
      <protection hidden="1"/>
    </xf>
    <xf numFmtId="0" fontId="12" fillId="0" borderId="31" xfId="0" applyFont="1" applyBorder="1" applyAlignment="1" applyProtection="1">
      <alignment horizontal="center" vertical="center" wrapText="1"/>
      <protection hidden="1"/>
    </xf>
    <xf numFmtId="1" fontId="12" fillId="0" borderId="31" xfId="0" applyNumberFormat="1" applyFont="1" applyBorder="1" applyAlignment="1" applyProtection="1">
      <alignment horizontal="center" vertical="center"/>
      <protection hidden="1"/>
    </xf>
    <xf numFmtId="0" fontId="12" fillId="0" borderId="31" xfId="0" applyFont="1" applyBorder="1" applyAlignment="1" applyProtection="1">
      <alignment horizontal="center" vertical="center"/>
      <protection hidden="1"/>
    </xf>
    <xf numFmtId="0" fontId="14" fillId="0" borderId="31" xfId="0" applyFont="1" applyBorder="1" applyAlignment="1" applyProtection="1">
      <alignment horizontal="center" vertical="center"/>
      <protection hidden="1"/>
    </xf>
    <xf numFmtId="165" fontId="12" fillId="0" borderId="31" xfId="0" applyNumberFormat="1" applyFont="1" applyBorder="1" applyAlignment="1" applyProtection="1">
      <alignment horizontal="center" vertical="center"/>
      <protection hidden="1"/>
    </xf>
    <xf numFmtId="0" fontId="12" fillId="0" borderId="31" xfId="0" applyFont="1" applyBorder="1" applyAlignment="1" applyProtection="1">
      <alignment horizontal="center" vertical="center" wrapText="1"/>
      <protection locked="0"/>
    </xf>
    <xf numFmtId="0" fontId="12" fillId="0" borderId="31" xfId="0" applyFont="1" applyBorder="1" applyAlignment="1">
      <alignment horizontal="center" vertical="center" wrapText="1"/>
    </xf>
    <xf numFmtId="1" fontId="12" fillId="0" borderId="31" xfId="0" applyNumberFormat="1" applyFont="1" applyBorder="1" applyAlignment="1" applyProtection="1">
      <alignment horizontal="center" vertical="center" wrapText="1"/>
      <protection locked="0"/>
    </xf>
    <xf numFmtId="0" fontId="13" fillId="0" borderId="33" xfId="0" applyFont="1" applyBorder="1" applyAlignment="1" applyProtection="1">
      <alignment horizontal="center" vertical="center" wrapText="1"/>
      <protection hidden="1"/>
    </xf>
    <xf numFmtId="0" fontId="0" fillId="3" borderId="32" xfId="0" applyFill="1" applyBorder="1" applyAlignment="1" applyProtection="1">
      <alignment wrapText="1"/>
      <protection hidden="1"/>
    </xf>
    <xf numFmtId="0" fontId="13" fillId="0" borderId="36" xfId="0" applyFont="1" applyBorder="1" applyAlignment="1" applyProtection="1">
      <alignment horizontal="center" vertical="center" wrapText="1"/>
      <protection hidden="1"/>
    </xf>
    <xf numFmtId="0" fontId="0" fillId="5" borderId="37" xfId="0" applyFill="1" applyBorder="1" applyProtection="1">
      <protection hidden="1"/>
    </xf>
    <xf numFmtId="164" fontId="0" fillId="10" borderId="1" xfId="0" applyNumberFormat="1" applyFill="1" applyBorder="1" applyProtection="1">
      <protection hidden="1"/>
    </xf>
    <xf numFmtId="164" fontId="0" fillId="10" borderId="1" xfId="0" applyNumberFormat="1" applyFill="1" applyBorder="1" applyAlignment="1" applyProtection="1">
      <alignment horizontal="right"/>
      <protection hidden="1"/>
    </xf>
    <xf numFmtId="0" fontId="0" fillId="3" borderId="15" xfId="0" applyFill="1" applyBorder="1" applyAlignment="1" applyProtection="1">
      <alignment horizontal="left" wrapText="1"/>
      <protection hidden="1"/>
    </xf>
    <xf numFmtId="0" fontId="0" fillId="3" borderId="30" xfId="0" applyFill="1" applyBorder="1" applyAlignment="1" applyProtection="1">
      <alignment horizontal="left" wrapText="1"/>
      <protection hidden="1"/>
    </xf>
    <xf numFmtId="0" fontId="5" fillId="7" borderId="1" xfId="0" applyFont="1" applyFill="1" applyBorder="1" applyAlignment="1" applyProtection="1">
      <alignment horizontal="center" vertical="center"/>
      <protection hidden="1"/>
    </xf>
    <xf numFmtId="0" fontId="5" fillId="7" borderId="16" xfId="0" applyFont="1" applyFill="1" applyBorder="1" applyAlignment="1" applyProtection="1">
      <alignment horizontal="center" vertical="center"/>
      <protection hidden="1"/>
    </xf>
    <xf numFmtId="0" fontId="5" fillId="7" borderId="9" xfId="0" applyFont="1" applyFill="1" applyBorder="1" applyAlignment="1" applyProtection="1">
      <alignment horizontal="center" vertical="center"/>
      <protection hidden="1"/>
    </xf>
    <xf numFmtId="0" fontId="5" fillId="7" borderId="3" xfId="0" applyFont="1" applyFill="1" applyBorder="1" applyAlignment="1" applyProtection="1">
      <alignment horizontal="center" vertical="center"/>
      <protection hidden="1"/>
    </xf>
    <xf numFmtId="0" fontId="5" fillId="7" borderId="2" xfId="0" applyFont="1" applyFill="1" applyBorder="1" applyAlignment="1" applyProtection="1">
      <alignment horizontal="center" vertical="center"/>
      <protection hidden="1"/>
    </xf>
    <xf numFmtId="0" fontId="5" fillId="7" borderId="17" xfId="0" applyFont="1" applyFill="1" applyBorder="1" applyAlignment="1" applyProtection="1">
      <alignment horizontal="center" vertical="center"/>
      <protection hidden="1"/>
    </xf>
    <xf numFmtId="0" fontId="5" fillId="7" borderId="10" xfId="0" applyFont="1" applyFill="1" applyBorder="1" applyAlignment="1" applyProtection="1">
      <alignment horizontal="center" vertical="center"/>
      <protection hidden="1"/>
    </xf>
    <xf numFmtId="0" fontId="13" fillId="0" borderId="0" xfId="0" applyFont="1" applyAlignment="1" applyProtection="1">
      <alignment horizontal="center" vertical="center"/>
      <protection hidden="1"/>
    </xf>
    <xf numFmtId="0" fontId="13" fillId="0" borderId="8" xfId="0" applyFont="1" applyBorder="1" applyAlignment="1" applyProtection="1">
      <alignment horizontal="center" vertical="center"/>
      <protection hidden="1"/>
    </xf>
    <xf numFmtId="0" fontId="0" fillId="3" borderId="14" xfId="0" applyFill="1" applyBorder="1" applyAlignment="1" applyProtection="1">
      <alignment horizontal="left"/>
      <protection hidden="1"/>
    </xf>
    <xf numFmtId="0" fontId="0" fillId="3" borderId="29" xfId="0" applyFill="1" applyBorder="1" applyAlignment="1" applyProtection="1">
      <alignment horizontal="left"/>
      <protection hidden="1"/>
    </xf>
    <xf numFmtId="165" fontId="0" fillId="4" borderId="15" xfId="1" applyNumberFormat="1" applyFont="1" applyFill="1" applyBorder="1" applyAlignment="1" applyProtection="1">
      <alignment horizontal="right"/>
      <protection locked="0"/>
    </xf>
    <xf numFmtId="165" fontId="0" fillId="4" borderId="30" xfId="1" applyNumberFormat="1" applyFont="1" applyFill="1" applyBorder="1" applyAlignment="1" applyProtection="1">
      <alignment horizontal="right"/>
      <protection locked="0"/>
    </xf>
    <xf numFmtId="0" fontId="0" fillId="3" borderId="15" xfId="0" applyFill="1" applyBorder="1" applyAlignment="1" applyProtection="1">
      <alignment horizontal="center"/>
      <protection hidden="1"/>
    </xf>
    <xf numFmtId="0" fontId="0" fillId="3" borderId="30" xfId="0" applyFill="1" applyBorder="1" applyAlignment="1" applyProtection="1">
      <alignment horizontal="center"/>
      <protection hidden="1"/>
    </xf>
    <xf numFmtId="0" fontId="0" fillId="3" borderId="34" xfId="0" applyFill="1" applyBorder="1" applyAlignment="1" applyProtection="1">
      <alignment horizontal="left" wrapText="1"/>
      <protection hidden="1"/>
    </xf>
    <xf numFmtId="0" fontId="0" fillId="3" borderId="35" xfId="0" applyFill="1" applyBorder="1" applyAlignment="1" applyProtection="1">
      <alignment horizontal="left" wrapText="1"/>
      <protection hidden="1"/>
    </xf>
    <xf numFmtId="0" fontId="12" fillId="0" borderId="33" xfId="0" applyFont="1" applyBorder="1" applyAlignment="1" applyProtection="1">
      <alignment horizontal="center" vertical="center"/>
      <protection hidden="1"/>
    </xf>
    <xf numFmtId="0" fontId="12" fillId="0" borderId="31" xfId="0" applyFont="1" applyBorder="1" applyAlignment="1" applyProtection="1">
      <alignment horizontal="center" vertical="center"/>
      <protection hidden="1"/>
    </xf>
    <xf numFmtId="0" fontId="12" fillId="0" borderId="36" xfId="0" applyFont="1" applyBorder="1" applyAlignment="1" applyProtection="1">
      <alignment horizontal="center" vertical="center"/>
      <protection hidden="1"/>
    </xf>
    <xf numFmtId="11" fontId="0" fillId="4" borderId="15" xfId="0" applyNumberFormat="1" applyFill="1" applyBorder="1" applyAlignment="1" applyProtection="1">
      <alignment horizontal="right"/>
      <protection locked="0"/>
    </xf>
    <xf numFmtId="11" fontId="0" fillId="4" borderId="30" xfId="0" applyNumberFormat="1" applyFill="1" applyBorder="1" applyAlignment="1" applyProtection="1">
      <alignment horizontal="right"/>
      <protection locked="0"/>
    </xf>
    <xf numFmtId="0" fontId="0" fillId="3" borderId="15" xfId="0" applyFill="1" applyBorder="1" applyAlignment="1" applyProtection="1">
      <alignment horizontal="left"/>
      <protection hidden="1"/>
    </xf>
    <xf numFmtId="0" fontId="0" fillId="3" borderId="30" xfId="0" applyFill="1" applyBorder="1" applyAlignment="1" applyProtection="1">
      <alignment horizontal="left"/>
      <protection hidden="1"/>
    </xf>
    <xf numFmtId="0" fontId="0" fillId="3" borderId="7" xfId="0" applyFill="1" applyBorder="1" applyProtection="1">
      <protection hidden="1"/>
    </xf>
    <xf numFmtId="0" fontId="0" fillId="3" borderId="0" xfId="0" applyFill="1" applyProtection="1">
      <protection hidden="1"/>
    </xf>
    <xf numFmtId="0" fontId="7" fillId="3" borderId="4" xfId="0" applyFont="1" applyFill="1" applyBorder="1" applyAlignment="1" applyProtection="1">
      <alignment horizontal="center"/>
      <protection hidden="1"/>
    </xf>
    <xf numFmtId="0" fontId="7" fillId="3" borderId="5" xfId="0" applyFont="1" applyFill="1" applyBorder="1" applyAlignment="1" applyProtection="1">
      <alignment horizontal="center"/>
      <protection hidden="1"/>
    </xf>
    <xf numFmtId="0" fontId="7" fillId="3" borderId="6" xfId="0" applyFont="1" applyFill="1" applyBorder="1" applyAlignment="1" applyProtection="1">
      <alignment horizontal="center"/>
      <protection hidden="1"/>
    </xf>
    <xf numFmtId="0" fontId="0" fillId="3" borderId="7" xfId="0" applyFill="1" applyBorder="1" applyAlignment="1" applyProtection="1">
      <alignment horizontal="center"/>
      <protection hidden="1"/>
    </xf>
    <xf numFmtId="0" fontId="0" fillId="3" borderId="0" xfId="0" applyFill="1" applyAlignment="1" applyProtection="1">
      <alignment horizontal="center"/>
      <protection hidden="1"/>
    </xf>
    <xf numFmtId="0" fontId="0" fillId="3" borderId="8" xfId="0" applyFill="1" applyBorder="1" applyAlignment="1" applyProtection="1">
      <alignment horizontal="center"/>
      <protection hidden="1"/>
    </xf>
    <xf numFmtId="0" fontId="0" fillId="3" borderId="7" xfId="0" applyFill="1" applyBorder="1" applyAlignment="1" applyProtection="1">
      <alignment horizontal="left" wrapText="1"/>
      <protection hidden="1"/>
    </xf>
    <xf numFmtId="0" fontId="0" fillId="3" borderId="0" xfId="0" applyFill="1" applyAlignment="1" applyProtection="1">
      <alignment horizontal="left" wrapText="1"/>
      <protection hidden="1"/>
    </xf>
    <xf numFmtId="0" fontId="0" fillId="3" borderId="8" xfId="0" applyFill="1" applyBorder="1" applyAlignment="1" applyProtection="1">
      <alignment horizontal="left" wrapText="1"/>
      <protection hidden="1"/>
    </xf>
    <xf numFmtId="0" fontId="12" fillId="0" borderId="33" xfId="0" applyFont="1" applyBorder="1" applyAlignment="1" applyProtection="1">
      <alignment horizontal="center" vertical="center" wrapText="1"/>
      <protection hidden="1"/>
    </xf>
    <xf numFmtId="4" fontId="0" fillId="4" borderId="15" xfId="0" applyNumberFormat="1" applyFill="1" applyBorder="1" applyAlignment="1" applyProtection="1">
      <alignment horizontal="right"/>
      <protection locked="0"/>
    </xf>
    <xf numFmtId="4" fontId="0" fillId="4" borderId="30" xfId="0" applyNumberFormat="1" applyFill="1" applyBorder="1" applyAlignment="1" applyProtection="1">
      <alignment horizontal="right"/>
      <protection locked="0"/>
    </xf>
    <xf numFmtId="168" fontId="0" fillId="4" borderId="15" xfId="0" applyNumberFormat="1" applyFill="1" applyBorder="1" applyAlignment="1" applyProtection="1">
      <alignment horizontal="right"/>
      <protection locked="0"/>
    </xf>
    <xf numFmtId="168" fontId="0" fillId="4" borderId="30" xfId="0" applyNumberFormat="1" applyFill="1" applyBorder="1" applyAlignment="1" applyProtection="1">
      <alignment horizontal="right"/>
      <protection locked="0"/>
    </xf>
    <xf numFmtId="0" fontId="9" fillId="3" borderId="14" xfId="0" applyFont="1" applyFill="1" applyBorder="1" applyAlignment="1" applyProtection="1">
      <alignment horizontal="left"/>
      <protection hidden="1"/>
    </xf>
    <xf numFmtId="0" fontId="9" fillId="3" borderId="29" xfId="0" applyFont="1" applyFill="1" applyBorder="1" applyAlignment="1" applyProtection="1">
      <alignment horizontal="left"/>
      <protection hidden="1"/>
    </xf>
    <xf numFmtId="11" fontId="0" fillId="10" borderId="15" xfId="0" applyNumberFormat="1" applyFill="1" applyBorder="1" applyAlignment="1" applyProtection="1">
      <alignment horizontal="right"/>
      <protection hidden="1"/>
    </xf>
    <xf numFmtId="11" fontId="0" fillId="10" borderId="30" xfId="0" applyNumberFormat="1" applyFill="1" applyBorder="1" applyAlignment="1" applyProtection="1">
      <alignment horizontal="right"/>
      <protection hidden="1"/>
    </xf>
    <xf numFmtId="0" fontId="0" fillId="4" borderId="15" xfId="0" applyFill="1" applyBorder="1" applyAlignment="1" applyProtection="1">
      <alignment horizontal="right"/>
      <protection locked="0"/>
    </xf>
    <xf numFmtId="0" fontId="0" fillId="4" borderId="30" xfId="0" applyFill="1" applyBorder="1" applyAlignment="1" applyProtection="1">
      <alignment horizontal="right"/>
      <protection locked="0"/>
    </xf>
    <xf numFmtId="0" fontId="5" fillId="8" borderId="21" xfId="0" applyFont="1" applyFill="1" applyBorder="1" applyAlignment="1">
      <alignment horizontal="center"/>
    </xf>
    <xf numFmtId="0" fontId="5" fillId="8" borderId="22" xfId="0" applyFont="1" applyFill="1" applyBorder="1" applyAlignment="1">
      <alignment horizontal="center"/>
    </xf>
    <xf numFmtId="0" fontId="5" fillId="8" borderId="23" xfId="0" applyFont="1" applyFill="1" applyBorder="1" applyAlignment="1">
      <alignment horizontal="center"/>
    </xf>
  </cellXfs>
  <cellStyles count="2">
    <cellStyle name="Prozent" xfId="1" builtinId="5"/>
    <cellStyle name="Standard" xfId="0" builtinId="0"/>
  </cellStyles>
  <dxfs count="13">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rgb="FF00FF00"/>
        </patternFill>
      </fill>
    </dxf>
    <dxf>
      <font>
        <b/>
        <i val="0"/>
        <color rgb="FFFF0000"/>
      </font>
    </dxf>
    <dxf>
      <fill>
        <patternFill>
          <bgColor rgb="FF00FF00"/>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0" tint="-0.14996795556505021"/>
        </patternFill>
      </fill>
    </dxf>
    <dxf>
      <fill>
        <patternFill>
          <bgColor rgb="FF00FF00"/>
        </patternFill>
      </fill>
    </dxf>
  </dxfs>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Open Loop Bode Plot</a:t>
            </a:r>
          </a:p>
        </c:rich>
      </c:tx>
      <c:layout>
        <c:manualLayout>
          <c:xMode val="edge"/>
          <c:yMode val="edge"/>
          <c:x val="0.33683336621269838"/>
          <c:y val="2.5442171813234427E-2"/>
        </c:manualLayout>
      </c:layout>
      <c:overlay val="0"/>
    </c:title>
    <c:autoTitleDeleted val="0"/>
    <c:plotArea>
      <c:layout>
        <c:manualLayout>
          <c:layoutTarget val="inner"/>
          <c:xMode val="edge"/>
          <c:yMode val="edge"/>
          <c:x val="0.10351211695000362"/>
          <c:y val="0.13133721433927467"/>
          <c:w val="0.77930176740855439"/>
          <c:h val="0.71510376866900049"/>
        </c:manualLayout>
      </c:layout>
      <c:scatterChart>
        <c:scatterStyle val="smoothMarker"/>
        <c:varyColors val="0"/>
        <c:ser>
          <c:idx val="0"/>
          <c:order val="0"/>
          <c:tx>
            <c:v>gain</c:v>
          </c:tx>
          <c:marker>
            <c:symbol val="none"/>
          </c:marker>
          <c:xVal>
            <c:numRef>
              <c:f>'Frequency Response Calculation'!$B$3:$B$43</c:f>
              <c:numCache>
                <c:formatCode>#,##0</c:formatCode>
                <c:ptCount val="41"/>
                <c:pt idx="0">
                  <c:v>100</c:v>
                </c:pt>
                <c:pt idx="1">
                  <c:v>125.8925411794168</c:v>
                </c:pt>
                <c:pt idx="2">
                  <c:v>158.48931924611136</c:v>
                </c:pt>
                <c:pt idx="3">
                  <c:v>199.52623149688804</c:v>
                </c:pt>
                <c:pt idx="4">
                  <c:v>251.188643150958</c:v>
                </c:pt>
                <c:pt idx="5">
                  <c:v>316.22776601683802</c:v>
                </c:pt>
                <c:pt idx="6">
                  <c:v>398.10717055349755</c:v>
                </c:pt>
                <c:pt idx="7">
                  <c:v>501.18723362727235</c:v>
                </c:pt>
                <c:pt idx="8">
                  <c:v>630.95734448019368</c:v>
                </c:pt>
                <c:pt idx="9">
                  <c:v>794.32823472428197</c:v>
                </c:pt>
                <c:pt idx="10">
                  <c:v>1000</c:v>
                </c:pt>
                <c:pt idx="11">
                  <c:v>1258.9254117941678</c:v>
                </c:pt>
                <c:pt idx="12">
                  <c:v>1584.8931924611154</c:v>
                </c:pt>
                <c:pt idx="13">
                  <c:v>1995.2623149688802</c:v>
                </c:pt>
                <c:pt idx="14">
                  <c:v>2511.8864315095807</c:v>
                </c:pt>
                <c:pt idx="15">
                  <c:v>3162.2776601683827</c:v>
                </c:pt>
                <c:pt idx="16">
                  <c:v>3981.071705534976</c:v>
                </c:pt>
                <c:pt idx="17">
                  <c:v>5011.8723362727269</c:v>
                </c:pt>
                <c:pt idx="18">
                  <c:v>6309.5734448019321</c:v>
                </c:pt>
                <c:pt idx="19">
                  <c:v>7943.2823472428208</c:v>
                </c:pt>
                <c:pt idx="20">
                  <c:v>10000</c:v>
                </c:pt>
                <c:pt idx="21">
                  <c:v>12589.25411794168</c:v>
                </c:pt>
                <c:pt idx="22">
                  <c:v>15848.931924611155</c:v>
                </c:pt>
                <c:pt idx="23">
                  <c:v>19952.623149688803</c:v>
                </c:pt>
                <c:pt idx="24">
                  <c:v>25118.864315095812</c:v>
                </c:pt>
                <c:pt idx="25">
                  <c:v>31622.776601683803</c:v>
                </c:pt>
                <c:pt idx="26">
                  <c:v>39810.717055349771</c:v>
                </c:pt>
                <c:pt idx="27">
                  <c:v>50118.723362727324</c:v>
                </c:pt>
                <c:pt idx="28">
                  <c:v>63095.734448019386</c:v>
                </c:pt>
                <c:pt idx="29">
                  <c:v>79432.82347242815</c:v>
                </c:pt>
                <c:pt idx="30">
                  <c:v>100000</c:v>
                </c:pt>
                <c:pt idx="31">
                  <c:v>125892.54117941672</c:v>
                </c:pt>
                <c:pt idx="32">
                  <c:v>158489.31924611147</c:v>
                </c:pt>
                <c:pt idx="33">
                  <c:v>199526.23149688792</c:v>
                </c:pt>
                <c:pt idx="34">
                  <c:v>251188.64315095858</c:v>
                </c:pt>
                <c:pt idx="35">
                  <c:v>316227.76601683837</c:v>
                </c:pt>
                <c:pt idx="36">
                  <c:v>398107.17055349739</c:v>
                </c:pt>
                <c:pt idx="37">
                  <c:v>501187.23362727294</c:v>
                </c:pt>
                <c:pt idx="38">
                  <c:v>630957.34448019345</c:v>
                </c:pt>
                <c:pt idx="39">
                  <c:v>794328.2347242824</c:v>
                </c:pt>
                <c:pt idx="40">
                  <c:v>1000000</c:v>
                </c:pt>
              </c:numCache>
            </c:numRef>
          </c:xVal>
          <c:yVal>
            <c:numRef>
              <c:f>'Frequency Response Calculation'!$AC$3:$AC$43</c:f>
              <c:numCache>
                <c:formatCode>0.0000</c:formatCode>
                <c:ptCount val="41"/>
                <c:pt idx="0">
                  <c:v>57.810880096259645</c:v>
                </c:pt>
                <c:pt idx="1">
                  <c:v>55.14760405921831</c:v>
                </c:pt>
                <c:pt idx="2">
                  <c:v>52.230745037960119</c:v>
                </c:pt>
                <c:pt idx="3">
                  <c:v>49.103654478169133</c:v>
                </c:pt>
                <c:pt idx="4">
                  <c:v>45.829599338902653</c:v>
                </c:pt>
                <c:pt idx="5">
                  <c:v>42.485023347458863</c:v>
                </c:pt>
                <c:pt idx="6">
                  <c:v>39.150721488885203</c:v>
                </c:pt>
                <c:pt idx="7">
                  <c:v>35.902980620225875</c:v>
                </c:pt>
                <c:pt idx="8">
                  <c:v>32.80421824547382</c:v>
                </c:pt>
                <c:pt idx="9">
                  <c:v>29.893755792398839</c:v>
                </c:pt>
                <c:pt idx="10">
                  <c:v>27.182559210041212</c:v>
                </c:pt>
                <c:pt idx="11">
                  <c:v>24.655810076575623</c:v>
                </c:pt>
                <c:pt idx="12">
                  <c:v>22.282393614232856</c:v>
                </c:pt>
                <c:pt idx="13">
                  <c:v>20.02601234564214</c:v>
                </c:pt>
                <c:pt idx="14">
                  <c:v>17.853173367365788</c:v>
                </c:pt>
                <c:pt idx="15">
                  <c:v>15.736777124655761</c:v>
                </c:pt>
                <c:pt idx="16">
                  <c:v>13.656552022239039</c:v>
                </c:pt>
                <c:pt idx="17">
                  <c:v>11.598111270787147</c:v>
                </c:pt>
                <c:pt idx="18">
                  <c:v>9.5519660395624832</c:v>
                </c:pt>
                <c:pt idx="19">
                  <c:v>7.5132888581164528</c:v>
                </c:pt>
                <c:pt idx="20">
                  <c:v>5.4826421944398298</c:v>
                </c:pt>
                <c:pt idx="21">
                  <c:v>3.4667173467656287</c:v>
                </c:pt>
                <c:pt idx="22">
                  <c:v>1.4760172542549443</c:v>
                </c:pt>
                <c:pt idx="23">
                  <c:v>-0.48496003264791998</c:v>
                </c:pt>
                <c:pt idx="24">
                  <c:v>-2.4357599537445034</c:v>
                </c:pt>
                <c:pt idx="25">
                  <c:v>-4.4366266199226168</c:v>
                </c:pt>
                <c:pt idx="26">
                  <c:v>-6.5861717222151217</c:v>
                </c:pt>
                <c:pt idx="27">
                  <c:v>-8.9906194503569115</c:v>
                </c:pt>
                <c:pt idx="28">
                  <c:v>-11.72014032862414</c:v>
                </c:pt>
                <c:pt idx="29">
                  <c:v>-14.785190654888375</c:v>
                </c:pt>
                <c:pt idx="30">
                  <c:v>-18.148426966644724</c:v>
                </c:pt>
                <c:pt idx="31">
                  <c:v>-21.754855208538764</c:v>
                </c:pt>
                <c:pt idx="32">
                  <c:v>-25.556631011755698</c:v>
                </c:pt>
                <c:pt idx="33">
                  <c:v>-29.52533993490794</c:v>
                </c:pt>
                <c:pt idx="34">
                  <c:v>-33.655990866087947</c:v>
                </c:pt>
                <c:pt idx="35">
                  <c:v>-37.967522695514546</c:v>
                </c:pt>
                <c:pt idx="36">
                  <c:v>-42.501393829412557</c:v>
                </c:pt>
                <c:pt idx="37">
                  <c:v>-47.317014950682818</c:v>
                </c:pt>
                <c:pt idx="38">
                  <c:v>-52.481743157354316</c:v>
                </c:pt>
                <c:pt idx="39">
                  <c:v>-58.054967495470137</c:v>
                </c:pt>
                <c:pt idx="40">
                  <c:v>-64.070329259234299</c:v>
                </c:pt>
              </c:numCache>
            </c:numRef>
          </c:yVal>
          <c:smooth val="1"/>
          <c:extLst>
            <c:ext xmlns:c16="http://schemas.microsoft.com/office/drawing/2014/chart" uri="{C3380CC4-5D6E-409C-BE32-E72D297353CC}">
              <c16:uniqueId val="{00000000-91C2-4F71-BB6A-99D564D2F4C1}"/>
            </c:ext>
          </c:extLst>
        </c:ser>
        <c:dLbls>
          <c:showLegendKey val="0"/>
          <c:showVal val="0"/>
          <c:showCatName val="0"/>
          <c:showSerName val="0"/>
          <c:showPercent val="0"/>
          <c:showBubbleSize val="0"/>
        </c:dLbls>
        <c:axId val="122482048"/>
        <c:axId val="122484224"/>
      </c:scatterChart>
      <c:scatterChart>
        <c:scatterStyle val="smoothMarker"/>
        <c:varyColors val="0"/>
        <c:ser>
          <c:idx val="1"/>
          <c:order val="1"/>
          <c:tx>
            <c:v>phase</c:v>
          </c:tx>
          <c:marker>
            <c:symbol val="none"/>
          </c:marker>
          <c:xVal>
            <c:numRef>
              <c:f>'Frequency Response Calculation'!$B$3:$B$43</c:f>
              <c:numCache>
                <c:formatCode>#,##0</c:formatCode>
                <c:ptCount val="41"/>
                <c:pt idx="0">
                  <c:v>100</c:v>
                </c:pt>
                <c:pt idx="1">
                  <c:v>125.8925411794168</c:v>
                </c:pt>
                <c:pt idx="2">
                  <c:v>158.48931924611136</c:v>
                </c:pt>
                <c:pt idx="3">
                  <c:v>199.52623149688804</c:v>
                </c:pt>
                <c:pt idx="4">
                  <c:v>251.188643150958</c:v>
                </c:pt>
                <c:pt idx="5">
                  <c:v>316.22776601683802</c:v>
                </c:pt>
                <c:pt idx="6">
                  <c:v>398.10717055349755</c:v>
                </c:pt>
                <c:pt idx="7">
                  <c:v>501.18723362727235</c:v>
                </c:pt>
                <c:pt idx="8">
                  <c:v>630.95734448019368</c:v>
                </c:pt>
                <c:pt idx="9">
                  <c:v>794.32823472428197</c:v>
                </c:pt>
                <c:pt idx="10">
                  <c:v>1000</c:v>
                </c:pt>
                <c:pt idx="11">
                  <c:v>1258.9254117941678</c:v>
                </c:pt>
                <c:pt idx="12">
                  <c:v>1584.8931924611154</c:v>
                </c:pt>
                <c:pt idx="13">
                  <c:v>1995.2623149688802</c:v>
                </c:pt>
                <c:pt idx="14">
                  <c:v>2511.8864315095807</c:v>
                </c:pt>
                <c:pt idx="15">
                  <c:v>3162.2776601683827</c:v>
                </c:pt>
                <c:pt idx="16">
                  <c:v>3981.071705534976</c:v>
                </c:pt>
                <c:pt idx="17">
                  <c:v>5011.8723362727269</c:v>
                </c:pt>
                <c:pt idx="18">
                  <c:v>6309.5734448019321</c:v>
                </c:pt>
                <c:pt idx="19">
                  <c:v>7943.2823472428208</c:v>
                </c:pt>
                <c:pt idx="20">
                  <c:v>10000</c:v>
                </c:pt>
                <c:pt idx="21">
                  <c:v>12589.25411794168</c:v>
                </c:pt>
                <c:pt idx="22">
                  <c:v>15848.931924611155</c:v>
                </c:pt>
                <c:pt idx="23">
                  <c:v>19952.623149688803</c:v>
                </c:pt>
                <c:pt idx="24">
                  <c:v>25118.864315095812</c:v>
                </c:pt>
                <c:pt idx="25">
                  <c:v>31622.776601683803</c:v>
                </c:pt>
                <c:pt idx="26">
                  <c:v>39810.717055349771</c:v>
                </c:pt>
                <c:pt idx="27">
                  <c:v>50118.723362727324</c:v>
                </c:pt>
                <c:pt idx="28">
                  <c:v>63095.734448019386</c:v>
                </c:pt>
                <c:pt idx="29">
                  <c:v>79432.82347242815</c:v>
                </c:pt>
                <c:pt idx="30">
                  <c:v>100000</c:v>
                </c:pt>
                <c:pt idx="31">
                  <c:v>125892.54117941672</c:v>
                </c:pt>
                <c:pt idx="32">
                  <c:v>158489.31924611147</c:v>
                </c:pt>
                <c:pt idx="33">
                  <c:v>199526.23149688792</c:v>
                </c:pt>
                <c:pt idx="34">
                  <c:v>251188.64315095858</c:v>
                </c:pt>
                <c:pt idx="35">
                  <c:v>316227.76601683837</c:v>
                </c:pt>
                <c:pt idx="36">
                  <c:v>398107.17055349739</c:v>
                </c:pt>
                <c:pt idx="37">
                  <c:v>501187.23362727294</c:v>
                </c:pt>
                <c:pt idx="38">
                  <c:v>630957.34448019345</c:v>
                </c:pt>
                <c:pt idx="39">
                  <c:v>794328.2347242824</c:v>
                </c:pt>
                <c:pt idx="40">
                  <c:v>1000000</c:v>
                </c:pt>
              </c:numCache>
            </c:numRef>
          </c:xVal>
          <c:yVal>
            <c:numRef>
              <c:f>'Frequency Response Calculation'!$AD$3:$AD$43</c:f>
              <c:numCache>
                <c:formatCode>0.0000</c:formatCode>
                <c:ptCount val="41"/>
                <c:pt idx="0">
                  <c:v>77.912448207661441</c:v>
                </c:pt>
                <c:pt idx="1">
                  <c:v>69.885933337357542</c:v>
                </c:pt>
                <c:pt idx="2">
                  <c:v>62.960319852833209</c:v>
                </c:pt>
                <c:pt idx="3">
                  <c:v>57.462918935811544</c:v>
                </c:pt>
                <c:pt idx="4">
                  <c:v>53.643424797645395</c:v>
                </c:pt>
                <c:pt idx="5">
                  <c:v>51.61937043468761</c:v>
                </c:pt>
                <c:pt idx="6">
                  <c:v>51.351492133712355</c:v>
                </c:pt>
                <c:pt idx="7">
                  <c:v>52.639313611415275</c:v>
                </c:pt>
                <c:pt idx="8">
                  <c:v>55.134073521780017</c:v>
                </c:pt>
                <c:pt idx="9">
                  <c:v>58.38125591841721</c:v>
                </c:pt>
                <c:pt idx="10">
                  <c:v>61.897570572829139</c:v>
                </c:pt>
                <c:pt idx="11">
                  <c:v>65.257511321908851</c:v>
                </c:pt>
                <c:pt idx="12">
                  <c:v>68.149445654582749</c:v>
                </c:pt>
                <c:pt idx="13">
                  <c:v>70.382498727096817</c:v>
                </c:pt>
                <c:pt idx="14">
                  <c:v>71.857556401112404</c:v>
                </c:pt>
                <c:pt idx="15">
                  <c:v>72.527283662399157</c:v>
                </c:pt>
                <c:pt idx="16">
                  <c:v>72.361946847897627</c:v>
                </c:pt>
                <c:pt idx="17">
                  <c:v>71.326137729826016</c:v>
                </c:pt>
                <c:pt idx="18">
                  <c:v>69.364490285577759</c:v>
                </c:pt>
                <c:pt idx="19">
                  <c:v>66.391232230548638</c:v>
                </c:pt>
                <c:pt idx="20">
                  <c:v>62.275797538040123</c:v>
                </c:pt>
                <c:pt idx="21">
                  <c:v>56.814893457509569</c:v>
                </c:pt>
                <c:pt idx="22">
                  <c:v>49.687965320858119</c:v>
                </c:pt>
                <c:pt idx="23">
                  <c:v>40.419673797508118</c:v>
                </c:pt>
                <c:pt idx="24">
                  <c:v>28.41183905195544</c:v>
                </c:pt>
                <c:pt idx="25">
                  <c:v>13.108322310458874</c:v>
                </c:pt>
                <c:pt idx="26">
                  <c:v>-5.7289936189956876</c:v>
                </c:pt>
                <c:pt idx="27">
                  <c:v>-27.786777601377963</c:v>
                </c:pt>
                <c:pt idx="28">
                  <c:v>-52.205199382127304</c:v>
                </c:pt>
                <c:pt idx="29">
                  <c:v>-77.863983924591679</c:v>
                </c:pt>
                <c:pt idx="30">
                  <c:v>-103.76903478856335</c:v>
                </c:pt>
                <c:pt idx="31">
                  <c:v>-129.32457181646186</c:v>
                </c:pt>
                <c:pt idx="32">
                  <c:v>-154.41960004796857</c:v>
                </c:pt>
                <c:pt idx="33">
                  <c:v>-179.3759806012506</c:v>
                </c:pt>
                <c:pt idx="34">
                  <c:v>-204.83401643077229</c:v>
                </c:pt>
                <c:pt idx="35">
                  <c:v>-231.6313554811797</c:v>
                </c:pt>
                <c:pt idx="36">
                  <c:v>-260.69953379984645</c:v>
                </c:pt>
                <c:pt idx="37">
                  <c:v>-292.98383523795582</c:v>
                </c:pt>
                <c:pt idx="38">
                  <c:v>-322.98437446124814</c:v>
                </c:pt>
                <c:pt idx="39">
                  <c:v>-339.4465202437608</c:v>
                </c:pt>
                <c:pt idx="40">
                  <c:v>-355.41443389810973</c:v>
                </c:pt>
              </c:numCache>
            </c:numRef>
          </c:yVal>
          <c:smooth val="1"/>
          <c:extLst>
            <c:ext xmlns:c16="http://schemas.microsoft.com/office/drawing/2014/chart" uri="{C3380CC4-5D6E-409C-BE32-E72D297353CC}">
              <c16:uniqueId val="{00000001-91C2-4F71-BB6A-99D564D2F4C1}"/>
            </c:ext>
          </c:extLst>
        </c:ser>
        <c:dLbls>
          <c:showLegendKey val="0"/>
          <c:showVal val="0"/>
          <c:showCatName val="0"/>
          <c:showSerName val="0"/>
          <c:showPercent val="0"/>
          <c:showBubbleSize val="0"/>
        </c:dLbls>
        <c:axId val="120784384"/>
        <c:axId val="122486144"/>
      </c:scatterChart>
      <c:valAx>
        <c:axId val="122482048"/>
        <c:scaling>
          <c:logBase val="10"/>
          <c:orientation val="minMax"/>
          <c:min val="100"/>
        </c:scaling>
        <c:delete val="0"/>
        <c:axPos val="b"/>
        <c:minorGridlines/>
        <c:title>
          <c:tx>
            <c:rich>
              <a:bodyPr/>
              <a:lstStyle/>
              <a:p>
                <a:pPr>
                  <a:defRPr/>
                </a:pPr>
                <a:r>
                  <a:rPr lang="en-US" sz="1600"/>
                  <a:t>Frequency</a:t>
                </a:r>
              </a:p>
            </c:rich>
          </c:tx>
          <c:overlay val="0"/>
        </c:title>
        <c:numFmt formatCode="#,##0" sourceLinked="0"/>
        <c:majorTickMark val="out"/>
        <c:minorTickMark val="out"/>
        <c:tickLblPos val="nextTo"/>
        <c:crossAx val="122484224"/>
        <c:crossesAt val="-40"/>
        <c:crossBetween val="midCat"/>
      </c:valAx>
      <c:valAx>
        <c:axId val="122484224"/>
        <c:scaling>
          <c:orientation val="minMax"/>
          <c:max val="50"/>
          <c:min val="-40"/>
        </c:scaling>
        <c:delete val="0"/>
        <c:axPos val="l"/>
        <c:majorGridlines/>
        <c:title>
          <c:tx>
            <c:rich>
              <a:bodyPr rot="-5400000" vert="horz"/>
              <a:lstStyle/>
              <a:p>
                <a:pPr>
                  <a:defRPr/>
                </a:pPr>
                <a:r>
                  <a:rPr lang="en-US" sz="1600"/>
                  <a:t>Gain (dB)</a:t>
                </a:r>
              </a:p>
            </c:rich>
          </c:tx>
          <c:layout>
            <c:manualLayout>
              <c:xMode val="edge"/>
              <c:yMode val="edge"/>
              <c:x val="1.2668055197675866E-2"/>
              <c:y val="0.39258165896075209"/>
            </c:manualLayout>
          </c:layout>
          <c:overlay val="0"/>
        </c:title>
        <c:numFmt formatCode="0" sourceLinked="0"/>
        <c:majorTickMark val="out"/>
        <c:minorTickMark val="none"/>
        <c:tickLblPos val="nextTo"/>
        <c:crossAx val="122482048"/>
        <c:crossesAt val="100"/>
        <c:crossBetween val="midCat"/>
        <c:majorUnit val="5"/>
      </c:valAx>
      <c:valAx>
        <c:axId val="122486144"/>
        <c:scaling>
          <c:orientation val="minMax"/>
          <c:max val="150"/>
          <c:min val="-120"/>
        </c:scaling>
        <c:delete val="0"/>
        <c:axPos val="r"/>
        <c:title>
          <c:tx>
            <c:rich>
              <a:bodyPr rot="-5400000" vert="horz"/>
              <a:lstStyle/>
              <a:p>
                <a:pPr>
                  <a:defRPr/>
                </a:pPr>
                <a:r>
                  <a:rPr lang="en-US" sz="1600"/>
                  <a:t>Phase Margin (degree)</a:t>
                </a:r>
              </a:p>
            </c:rich>
          </c:tx>
          <c:layout>
            <c:manualLayout>
              <c:xMode val="edge"/>
              <c:yMode val="edge"/>
              <c:x val="0.93752764446601256"/>
              <c:y val="0.25869218199036648"/>
            </c:manualLayout>
          </c:layout>
          <c:overlay val="0"/>
        </c:title>
        <c:numFmt formatCode="0" sourceLinked="0"/>
        <c:majorTickMark val="out"/>
        <c:minorTickMark val="none"/>
        <c:tickLblPos val="nextTo"/>
        <c:crossAx val="120784384"/>
        <c:crosses val="max"/>
        <c:crossBetween val="midCat"/>
        <c:majorUnit val="15"/>
      </c:valAx>
      <c:valAx>
        <c:axId val="120784384"/>
        <c:scaling>
          <c:logBase val="10"/>
          <c:orientation val="minMax"/>
        </c:scaling>
        <c:delete val="1"/>
        <c:axPos val="b"/>
        <c:numFmt formatCode="#,##0" sourceLinked="1"/>
        <c:majorTickMark val="out"/>
        <c:minorTickMark val="none"/>
        <c:tickLblPos val="nextTo"/>
        <c:crossAx val="122486144"/>
        <c:crosses val="autoZero"/>
        <c:crossBetween val="midCat"/>
      </c:valAx>
    </c:plotArea>
    <c:legend>
      <c:legendPos val="r"/>
      <c:layout>
        <c:manualLayout>
          <c:xMode val="edge"/>
          <c:yMode val="edge"/>
          <c:x val="0.74957898417776148"/>
          <c:y val="0.14001761111979444"/>
          <c:w val="9.5922648668389551E-2"/>
          <c:h val="0.10223746427689809"/>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34834</xdr:colOff>
      <xdr:row>59</xdr:row>
      <xdr:rowOff>35924</xdr:rowOff>
    </xdr:from>
    <xdr:to>
      <xdr:col>15</xdr:col>
      <xdr:colOff>524691</xdr:colOff>
      <xdr:row>90</xdr:row>
      <xdr:rowOff>15240</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6735952" y="10815983"/>
          <a:ext cx="6742739" cy="4876286"/>
          <a:chOff x="6669810" y="12666539"/>
          <a:chExt cx="6585857" cy="4008623"/>
        </a:xfrm>
      </xdr:grpSpPr>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6669810" y="12666539"/>
          <a:ext cx="6585857" cy="4008623"/>
        </xdr:xfrm>
        <a:graphic>
          <a:graphicData uri="http://schemas.openxmlformats.org/drawingml/2006/chart">
            <c:chart xmlns:c="http://schemas.openxmlformats.org/drawingml/2006/chart" xmlns:r="http://schemas.openxmlformats.org/officeDocument/2006/relationships" r:id="rId1"/>
          </a:graphicData>
        </a:graphic>
      </xdr:graphicFrame>
      <xdr:cxnSp macro="">
        <xdr:nvCxnSpPr>
          <xdr:cNvPr id="5" name="Straight Connector 4">
            <a:extLst>
              <a:ext uri="{FF2B5EF4-FFF2-40B4-BE49-F238E27FC236}">
                <a16:creationId xmlns:a16="http://schemas.microsoft.com/office/drawing/2014/main" id="{00000000-0008-0000-0000-000005000000}"/>
              </a:ext>
            </a:extLst>
          </xdr:cNvPr>
          <xdr:cNvCxnSpPr/>
        </xdr:nvCxnSpPr>
        <xdr:spPr>
          <a:xfrm>
            <a:off x="7345534" y="14784867"/>
            <a:ext cx="5143500"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mc:AlternateContent xmlns:mc="http://schemas.openxmlformats.org/markup-compatibility/2006">
    <mc:Choice xmlns:a14="http://schemas.microsoft.com/office/drawing/2010/main" Requires="a14">
      <xdr:twoCellAnchor editAs="oneCell">
        <xdr:from>
          <xdr:col>5</xdr:col>
          <xdr:colOff>57150</xdr:colOff>
          <xdr:row>12</xdr:row>
          <xdr:rowOff>38100</xdr:rowOff>
        </xdr:from>
        <xdr:to>
          <xdr:col>15</xdr:col>
          <xdr:colOff>200025</xdr:colOff>
          <xdr:row>32</xdr:row>
          <xdr:rowOff>161925</xdr:rowOff>
        </xdr:to>
        <xdr:sp macro="" textlink="">
          <xdr:nvSpPr>
            <xdr:cNvPr id="1209" name="Object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oleObject" Target="../embeddings/Microsoft_Visio_2003-2010_Drawing.vsd"/><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16"/>
  <sheetViews>
    <sheetView tabSelected="1" topLeftCell="A52" zoomScale="85" zoomScaleNormal="85" workbookViewId="0">
      <selection activeCell="S69" sqref="S69"/>
    </sheetView>
  </sheetViews>
  <sheetFormatPr baseColWidth="10" defaultColWidth="8.85546875" defaultRowHeight="12.75"/>
  <cols>
    <col min="1" max="1" width="2.7109375" style="90" customWidth="1"/>
    <col min="2" max="2" width="24" style="51" customWidth="1"/>
    <col min="3" max="3" width="13.28515625" style="51" customWidth="1"/>
    <col min="4" max="4" width="6.7109375" style="51" customWidth="1"/>
    <col min="5" max="5" width="53.7109375" style="51" customWidth="1"/>
    <col min="6" max="6" width="9.28515625" style="51" customWidth="1"/>
    <col min="7" max="11" width="8.85546875" style="51" customWidth="1"/>
    <col min="12" max="12" width="8.85546875" style="51"/>
    <col min="13" max="13" width="9.140625" style="51" bestFit="1" customWidth="1"/>
    <col min="14" max="14" width="13.140625" style="51" bestFit="1" customWidth="1"/>
    <col min="15" max="16" width="8.85546875" style="51"/>
    <col min="17" max="17" width="2.7109375" style="51" customWidth="1"/>
    <col min="18" max="18" width="8.85546875" style="51"/>
    <col min="19" max="19" width="11" style="51" bestFit="1" customWidth="1"/>
    <col min="20" max="20" width="8.85546875" style="51" customWidth="1"/>
    <col min="21" max="16384" width="8.85546875" style="51"/>
  </cols>
  <sheetData>
    <row r="1" spans="1:17" ht="13.5" thickBot="1">
      <c r="A1" s="48"/>
      <c r="B1" s="49"/>
      <c r="C1" s="49"/>
      <c r="D1" s="49"/>
      <c r="E1" s="49"/>
      <c r="F1" s="49"/>
      <c r="G1" s="49"/>
      <c r="H1" s="49"/>
      <c r="I1" s="49"/>
      <c r="J1" s="50"/>
      <c r="K1" s="50"/>
      <c r="L1" s="50"/>
      <c r="M1" s="50"/>
      <c r="N1" s="50"/>
      <c r="O1" s="50"/>
      <c r="P1" s="50"/>
      <c r="Q1" s="50"/>
    </row>
    <row r="2" spans="1:17" ht="16.5" thickTop="1">
      <c r="A2" s="48"/>
      <c r="B2" s="145" t="s">
        <v>231</v>
      </c>
      <c r="C2" s="146"/>
      <c r="D2" s="146"/>
      <c r="E2" s="146"/>
      <c r="F2" s="146"/>
      <c r="G2" s="146"/>
      <c r="H2" s="146"/>
      <c r="I2" s="146"/>
      <c r="J2" s="146"/>
      <c r="K2" s="146"/>
      <c r="L2" s="146"/>
      <c r="M2" s="146"/>
      <c r="N2" s="146"/>
      <c r="O2" s="146"/>
      <c r="P2" s="147"/>
      <c r="Q2" s="50"/>
    </row>
    <row r="3" spans="1:17">
      <c r="A3" s="48"/>
      <c r="B3" s="148" t="s">
        <v>242</v>
      </c>
      <c r="C3" s="149"/>
      <c r="D3" s="149"/>
      <c r="E3" s="149"/>
      <c r="F3" s="149"/>
      <c r="G3" s="149"/>
      <c r="H3" s="149"/>
      <c r="I3" s="149"/>
      <c r="J3" s="149"/>
      <c r="K3" s="149"/>
      <c r="L3" s="149"/>
      <c r="M3" s="149"/>
      <c r="N3" s="149"/>
      <c r="O3" s="149"/>
      <c r="P3" s="150"/>
      <c r="Q3" s="50"/>
    </row>
    <row r="4" spans="1:17">
      <c r="A4" s="48"/>
      <c r="B4" s="148"/>
      <c r="C4" s="149"/>
      <c r="D4" s="149"/>
      <c r="E4" s="149"/>
      <c r="F4" s="149"/>
      <c r="G4" s="149"/>
      <c r="H4" s="149"/>
      <c r="I4" s="149"/>
      <c r="J4" s="149"/>
      <c r="K4" s="149"/>
      <c r="L4" s="149"/>
      <c r="M4" s="149"/>
      <c r="N4" s="149"/>
      <c r="O4" s="149"/>
      <c r="P4" s="150"/>
      <c r="Q4" s="50"/>
    </row>
    <row r="5" spans="1:17">
      <c r="A5" s="48"/>
      <c r="B5" s="52"/>
      <c r="C5" s="53"/>
      <c r="D5" s="53"/>
      <c r="E5" s="53"/>
      <c r="F5" s="53"/>
      <c r="G5" s="53"/>
      <c r="H5" s="53"/>
      <c r="I5" s="53"/>
      <c r="J5" s="53"/>
      <c r="K5" s="54"/>
      <c r="L5" s="54"/>
      <c r="M5" s="54"/>
      <c r="N5" s="54"/>
      <c r="O5" s="54"/>
      <c r="P5" s="55"/>
      <c r="Q5" s="50"/>
    </row>
    <row r="6" spans="1:17" ht="13.15" customHeight="1">
      <c r="A6" s="48"/>
      <c r="B6" s="151" t="s">
        <v>237</v>
      </c>
      <c r="C6" s="152"/>
      <c r="D6" s="152"/>
      <c r="E6" s="152"/>
      <c r="F6" s="152"/>
      <c r="G6" s="152"/>
      <c r="H6" s="152"/>
      <c r="I6" s="152"/>
      <c r="J6" s="152"/>
      <c r="K6" s="152"/>
      <c r="L6" s="152"/>
      <c r="M6" s="152"/>
      <c r="N6" s="152"/>
      <c r="O6" s="152"/>
      <c r="P6" s="153"/>
      <c r="Q6" s="50"/>
    </row>
    <row r="7" spans="1:17">
      <c r="A7" s="48"/>
      <c r="B7" s="143"/>
      <c r="C7" s="144"/>
      <c r="D7" s="144"/>
      <c r="E7" s="144"/>
      <c r="F7" s="144"/>
      <c r="G7" s="144"/>
      <c r="H7" s="144"/>
      <c r="I7" s="144"/>
      <c r="J7" s="144"/>
      <c r="K7" s="54"/>
      <c r="L7" s="54"/>
      <c r="M7" s="54"/>
      <c r="N7" s="54"/>
      <c r="O7" s="54"/>
      <c r="P7" s="55"/>
      <c r="Q7" s="50"/>
    </row>
    <row r="8" spans="1:17" ht="15.75">
      <c r="A8" s="48"/>
      <c r="B8" s="56"/>
      <c r="C8" s="57"/>
      <c r="D8" s="58" t="s">
        <v>81</v>
      </c>
      <c r="E8" s="59"/>
      <c r="F8" s="54"/>
      <c r="G8" s="54"/>
      <c r="H8" s="54"/>
      <c r="I8" s="54"/>
      <c r="J8" s="54"/>
      <c r="K8" s="54"/>
      <c r="L8" s="54"/>
      <c r="M8" s="54"/>
      <c r="N8" s="54"/>
      <c r="O8" s="54"/>
      <c r="P8" s="55"/>
      <c r="Q8" s="50"/>
    </row>
    <row r="9" spans="1:17" ht="15.75">
      <c r="A9" s="48"/>
      <c r="B9" s="56"/>
      <c r="C9" s="60"/>
      <c r="D9" s="58" t="s">
        <v>43</v>
      </c>
      <c r="E9" s="59"/>
      <c r="F9" s="54"/>
      <c r="G9" s="54"/>
      <c r="H9" s="54"/>
      <c r="I9" s="54"/>
      <c r="J9" s="54"/>
      <c r="K9" s="54"/>
      <c r="L9" s="54"/>
      <c r="M9" s="54"/>
      <c r="N9" s="54"/>
      <c r="O9" s="54"/>
      <c r="P9" s="55"/>
      <c r="Q9" s="50"/>
    </row>
    <row r="10" spans="1:17" ht="15">
      <c r="A10" s="48"/>
      <c r="B10" s="56"/>
      <c r="C10" s="61"/>
      <c r="D10" s="58" t="s">
        <v>42</v>
      </c>
      <c r="E10" s="54"/>
      <c r="F10" s="54"/>
      <c r="G10" s="54"/>
      <c r="H10" s="54"/>
      <c r="I10" s="54"/>
      <c r="J10" s="54"/>
      <c r="K10" s="54"/>
      <c r="L10" s="54"/>
      <c r="M10" s="54"/>
      <c r="N10" s="54"/>
      <c r="O10" s="54"/>
      <c r="P10" s="55"/>
      <c r="Q10" s="50"/>
    </row>
    <row r="11" spans="1:17" ht="15">
      <c r="A11" s="48"/>
      <c r="B11" s="56"/>
      <c r="C11" s="54"/>
      <c r="D11" s="58"/>
      <c r="E11" s="54"/>
      <c r="F11" s="54"/>
      <c r="G11" s="54"/>
      <c r="H11" s="54"/>
      <c r="I11" s="54"/>
      <c r="J11" s="54"/>
      <c r="K11" s="54"/>
      <c r="L11" s="54"/>
      <c r="M11" s="54"/>
      <c r="N11" s="54"/>
      <c r="O11" s="54"/>
      <c r="P11" s="55"/>
      <c r="Q11" s="50"/>
    </row>
    <row r="12" spans="1:17">
      <c r="A12" s="48"/>
      <c r="B12" s="62" t="s">
        <v>25</v>
      </c>
      <c r="C12" s="63" t="s">
        <v>24</v>
      </c>
      <c r="D12" s="63" t="s">
        <v>23</v>
      </c>
      <c r="E12" s="63" t="s">
        <v>26</v>
      </c>
      <c r="F12" s="119" t="s">
        <v>40</v>
      </c>
      <c r="G12" s="119"/>
      <c r="H12" s="119"/>
      <c r="I12" s="119"/>
      <c r="J12" s="119"/>
      <c r="K12" s="119"/>
      <c r="L12" s="119"/>
      <c r="M12" s="119"/>
      <c r="N12" s="119"/>
      <c r="O12" s="119"/>
      <c r="P12" s="120"/>
      <c r="Q12" s="50"/>
    </row>
    <row r="13" spans="1:17">
      <c r="A13" s="48"/>
      <c r="B13" s="121" t="s">
        <v>41</v>
      </c>
      <c r="C13" s="119"/>
      <c r="D13" s="119"/>
      <c r="E13" s="119"/>
      <c r="F13" s="64"/>
      <c r="G13" s="65"/>
      <c r="H13" s="65"/>
      <c r="I13" s="65"/>
      <c r="J13" s="65"/>
      <c r="K13" s="65"/>
      <c r="L13" s="65"/>
      <c r="M13" s="65"/>
      <c r="N13" s="65"/>
      <c r="O13" s="65"/>
      <c r="P13" s="66"/>
      <c r="Q13" s="50"/>
    </row>
    <row r="14" spans="1:17">
      <c r="A14" s="48"/>
      <c r="B14" s="67" t="s">
        <v>12</v>
      </c>
      <c r="C14" s="29">
        <v>11</v>
      </c>
      <c r="D14" s="68" t="s">
        <v>3</v>
      </c>
      <c r="E14" s="69" t="s">
        <v>223</v>
      </c>
      <c r="F14" s="54"/>
      <c r="G14" s="54"/>
      <c r="H14" s="54"/>
      <c r="I14" s="54"/>
      <c r="J14" s="54"/>
      <c r="K14" s="54"/>
      <c r="L14" s="54"/>
      <c r="M14" s="54"/>
      <c r="N14" s="54"/>
      <c r="O14" s="54"/>
      <c r="P14" s="55"/>
      <c r="Q14" s="50"/>
    </row>
    <row r="15" spans="1:17">
      <c r="A15" s="48"/>
      <c r="B15" s="67" t="s">
        <v>13</v>
      </c>
      <c r="C15" s="29">
        <v>24</v>
      </c>
      <c r="D15" s="68" t="s">
        <v>3</v>
      </c>
      <c r="E15" s="69" t="s">
        <v>33</v>
      </c>
      <c r="F15" s="54"/>
      <c r="G15" s="54"/>
      <c r="H15" s="54"/>
      <c r="I15" s="54"/>
      <c r="J15" s="54"/>
      <c r="K15" s="54"/>
      <c r="L15" s="54"/>
      <c r="M15" s="54"/>
      <c r="N15" s="54"/>
      <c r="O15" s="54"/>
      <c r="P15" s="55"/>
      <c r="Q15" s="50"/>
    </row>
    <row r="16" spans="1:17">
      <c r="A16" s="48"/>
      <c r="B16" s="67" t="s">
        <v>30</v>
      </c>
      <c r="C16" s="93">
        <v>12.1</v>
      </c>
      <c r="D16" s="68" t="s">
        <v>3</v>
      </c>
      <c r="E16" s="69" t="s">
        <v>232</v>
      </c>
      <c r="F16" s="54"/>
      <c r="G16" s="54"/>
      <c r="H16" s="54"/>
      <c r="I16" s="54"/>
      <c r="J16" s="54"/>
      <c r="K16" s="54"/>
      <c r="L16" s="54"/>
      <c r="M16" s="54"/>
      <c r="N16" s="54"/>
      <c r="O16" s="54"/>
      <c r="P16" s="55"/>
      <c r="Q16" s="50"/>
    </row>
    <row r="17" spans="1:17">
      <c r="A17" s="48"/>
      <c r="B17" s="67" t="s">
        <v>54</v>
      </c>
      <c r="C17" s="29">
        <v>5</v>
      </c>
      <c r="D17" s="68" t="s">
        <v>4</v>
      </c>
      <c r="E17" s="69" t="s">
        <v>76</v>
      </c>
      <c r="F17" s="54"/>
      <c r="G17" s="54"/>
      <c r="H17" s="54"/>
      <c r="I17" s="54"/>
      <c r="J17" s="54"/>
      <c r="K17" s="54"/>
      <c r="L17" s="54"/>
      <c r="M17" s="54"/>
      <c r="N17" s="54"/>
      <c r="O17" s="54"/>
      <c r="P17" s="55"/>
      <c r="Q17" s="50"/>
    </row>
    <row r="18" spans="1:17">
      <c r="A18" s="48"/>
      <c r="B18" s="67" t="s">
        <v>48</v>
      </c>
      <c r="C18" s="30" t="s">
        <v>38</v>
      </c>
      <c r="D18" s="68"/>
      <c r="E18" s="69" t="s">
        <v>82</v>
      </c>
      <c r="F18" s="54"/>
      <c r="G18" s="54"/>
      <c r="H18" s="54"/>
      <c r="I18" s="54"/>
      <c r="J18" s="54"/>
      <c r="K18" s="54"/>
      <c r="L18" s="54"/>
      <c r="M18" s="54"/>
      <c r="N18" s="54"/>
      <c r="O18" s="54"/>
      <c r="P18" s="55"/>
      <c r="Q18" s="50"/>
    </row>
    <row r="19" spans="1:17">
      <c r="A19" s="48"/>
      <c r="B19" s="67" t="s">
        <v>225</v>
      </c>
      <c r="C19" s="116" t="str">
        <f>IF(C18="Internal", "High","Low")</f>
        <v>High</v>
      </c>
      <c r="D19" s="68"/>
      <c r="E19" s="69" t="s">
        <v>226</v>
      </c>
      <c r="F19" s="54"/>
      <c r="G19" s="54"/>
      <c r="H19" s="54"/>
      <c r="I19" s="54"/>
      <c r="J19" s="54"/>
      <c r="K19" s="54"/>
      <c r="L19" s="54"/>
      <c r="M19" s="54"/>
      <c r="N19" s="54"/>
      <c r="O19" s="54"/>
      <c r="P19" s="55"/>
      <c r="Q19" s="50"/>
    </row>
    <row r="20" spans="1:17">
      <c r="A20" s="48"/>
      <c r="B20" s="67" t="s">
        <v>80</v>
      </c>
      <c r="C20" s="30" t="s">
        <v>230</v>
      </c>
      <c r="D20" s="68"/>
      <c r="E20" s="69" t="s">
        <v>83</v>
      </c>
      <c r="F20" s="54"/>
      <c r="G20" s="54"/>
      <c r="H20" s="54"/>
      <c r="I20" s="54"/>
      <c r="J20" s="54"/>
      <c r="K20" s="54"/>
      <c r="L20" s="54"/>
      <c r="M20" s="54"/>
      <c r="N20" s="54"/>
      <c r="O20" s="54"/>
      <c r="P20" s="55"/>
      <c r="Q20" s="50"/>
    </row>
    <row r="21" spans="1:17">
      <c r="A21" s="48"/>
      <c r="B21" s="67" t="s">
        <v>224</v>
      </c>
      <c r="C21" s="31" t="str">
        <f>IF(C20="FPWM", "High","Low")</f>
        <v>High</v>
      </c>
      <c r="D21" s="68"/>
      <c r="E21" s="69" t="s">
        <v>227</v>
      </c>
      <c r="F21" s="54"/>
      <c r="G21" s="54"/>
      <c r="H21" s="54"/>
      <c r="I21" s="54"/>
      <c r="J21" s="54"/>
      <c r="K21" s="54"/>
      <c r="L21" s="54"/>
      <c r="M21" s="54"/>
      <c r="N21" s="54"/>
      <c r="O21" s="54"/>
      <c r="P21" s="55"/>
      <c r="Q21" s="50"/>
    </row>
    <row r="22" spans="1:17" ht="25.5">
      <c r="A22" s="48"/>
      <c r="B22" s="67" t="s">
        <v>73</v>
      </c>
      <c r="C22" s="32">
        <v>100000</v>
      </c>
      <c r="D22" s="68" t="s">
        <v>28</v>
      </c>
      <c r="E22" s="69" t="s">
        <v>195</v>
      </c>
      <c r="F22" s="54"/>
      <c r="G22" s="54"/>
      <c r="H22" s="54"/>
      <c r="I22" s="54"/>
      <c r="J22" s="54"/>
      <c r="K22" s="54"/>
      <c r="L22" s="54"/>
      <c r="M22" s="54"/>
      <c r="N22" s="54"/>
      <c r="O22" s="54"/>
      <c r="P22" s="55"/>
      <c r="Q22" s="50"/>
    </row>
    <row r="23" spans="1:17">
      <c r="A23" s="48"/>
      <c r="B23" s="70" t="s">
        <v>228</v>
      </c>
      <c r="C23" s="33">
        <f>R_5/(Vout/1.2-1)</f>
        <v>11009.174311926605</v>
      </c>
      <c r="D23" s="68" t="s">
        <v>28</v>
      </c>
      <c r="E23" s="69" t="s">
        <v>170</v>
      </c>
      <c r="F23" s="54"/>
      <c r="G23" s="54"/>
      <c r="H23" s="54"/>
      <c r="I23" s="54"/>
      <c r="J23" s="54"/>
      <c r="K23" s="54"/>
      <c r="L23" s="54"/>
      <c r="M23" s="54"/>
      <c r="N23" s="54"/>
      <c r="O23" s="54"/>
      <c r="P23" s="55"/>
      <c r="Q23" s="50"/>
    </row>
    <row r="24" spans="1:17">
      <c r="A24" s="48"/>
      <c r="B24" s="67" t="s">
        <v>75</v>
      </c>
      <c r="C24" s="29">
        <v>5</v>
      </c>
      <c r="D24" s="68" t="s">
        <v>4</v>
      </c>
      <c r="E24" s="69" t="s">
        <v>45</v>
      </c>
      <c r="F24" s="54"/>
      <c r="G24" s="54"/>
      <c r="H24" s="54"/>
      <c r="I24" s="54"/>
      <c r="J24" s="54"/>
      <c r="K24" s="54"/>
      <c r="L24" s="54"/>
      <c r="M24" s="54"/>
      <c r="N24" s="54"/>
      <c r="O24" s="54"/>
      <c r="P24" s="55"/>
      <c r="Q24" s="50"/>
    </row>
    <row r="25" spans="1:17">
      <c r="A25" s="48"/>
      <c r="B25" s="67" t="s">
        <v>46</v>
      </c>
      <c r="C25" s="23">
        <f>50/Iout_limit</f>
        <v>10</v>
      </c>
      <c r="D25" s="68" t="s">
        <v>196</v>
      </c>
      <c r="E25" s="69" t="s">
        <v>47</v>
      </c>
      <c r="F25" s="54"/>
      <c r="G25" s="54"/>
      <c r="H25" s="54"/>
      <c r="I25" s="54"/>
      <c r="J25" s="54"/>
      <c r="K25" s="54"/>
      <c r="L25" s="54"/>
      <c r="M25" s="54"/>
      <c r="N25" s="54"/>
      <c r="O25" s="54"/>
      <c r="P25" s="55"/>
      <c r="Q25" s="50"/>
    </row>
    <row r="26" spans="1:17" ht="25.5">
      <c r="A26" s="48"/>
      <c r="B26" s="67" t="s">
        <v>201</v>
      </c>
      <c r="C26" s="34">
        <f>IF((Vout&gt;Vin_min), SQRT((Vout-Vin_min)/Vin_min)*Ioutmax, 1/SQRT(12)*Vout*(1-Vout/Vin_max)/L/fsw)</f>
        <v>1.5811388300841895</v>
      </c>
      <c r="D26" s="68" t="s">
        <v>19</v>
      </c>
      <c r="E26" s="69" t="s">
        <v>22</v>
      </c>
      <c r="F26" s="54"/>
      <c r="G26" s="54"/>
      <c r="H26" s="54"/>
      <c r="I26" s="54"/>
      <c r="J26" s="54"/>
      <c r="K26" s="54"/>
      <c r="L26" s="54"/>
      <c r="M26" s="54"/>
      <c r="N26" s="54"/>
      <c r="O26" s="54"/>
      <c r="P26" s="55"/>
      <c r="Q26" s="50"/>
    </row>
    <row r="27" spans="1:17" ht="25.5">
      <c r="A27" s="48"/>
      <c r="B27" s="67" t="s">
        <v>197</v>
      </c>
      <c r="C27" s="34">
        <f>IF((Vin_max&gt;Vout), IF(Vin_max&lt;(2*Vout), Ioutmax*SQRT(Vout*(Vin_max-Vout)/Vin_max/Vin_max), Ioutmax/2), IF(Vin_min&gt;Vout/2, 1/SQRT(12)*Vin_min*(1-Vin_min/Vout)/L/fsw, 1/SQRT(12)*Vout/4/L/fsw))</f>
        <v>2.4999131929373513</v>
      </c>
      <c r="D27" s="68" t="s">
        <v>19</v>
      </c>
      <c r="E27" s="69" t="s">
        <v>36</v>
      </c>
      <c r="F27" s="54"/>
      <c r="G27" s="54"/>
      <c r="H27" s="54"/>
      <c r="I27" s="54"/>
      <c r="J27" s="54"/>
      <c r="K27" s="54"/>
      <c r="L27" s="54"/>
      <c r="M27" s="54"/>
      <c r="N27" s="54"/>
      <c r="O27" s="54"/>
      <c r="P27" s="55"/>
      <c r="Q27" s="50"/>
    </row>
    <row r="28" spans="1:17">
      <c r="A28" s="48"/>
      <c r="B28" s="67" t="s">
        <v>2</v>
      </c>
      <c r="C28" s="35">
        <v>589000</v>
      </c>
      <c r="D28" s="68" t="s">
        <v>6</v>
      </c>
      <c r="E28" s="69" t="s">
        <v>16</v>
      </c>
      <c r="F28" s="54"/>
      <c r="G28" s="54"/>
      <c r="H28" s="54"/>
      <c r="I28" s="54"/>
      <c r="J28" s="54"/>
      <c r="K28" s="54"/>
      <c r="L28" s="54"/>
      <c r="M28" s="54"/>
      <c r="N28" s="54"/>
      <c r="O28" s="54"/>
      <c r="P28" s="55"/>
      <c r="Q28" s="50"/>
    </row>
    <row r="29" spans="1:17">
      <c r="A29" s="48"/>
      <c r="B29" s="70" t="s">
        <v>35</v>
      </c>
      <c r="C29" s="36">
        <f>(10^9/fsw-35)/0.05-250</f>
        <v>33005.85738539898</v>
      </c>
      <c r="D29" s="68" t="s">
        <v>28</v>
      </c>
      <c r="E29" s="69" t="s">
        <v>34</v>
      </c>
      <c r="F29" s="54"/>
      <c r="G29" s="54"/>
      <c r="H29" s="54"/>
      <c r="I29" s="54"/>
      <c r="J29" s="54"/>
      <c r="K29" s="54"/>
      <c r="L29" s="54"/>
      <c r="M29" s="54"/>
      <c r="N29" s="54"/>
      <c r="O29" s="54"/>
      <c r="P29" s="55"/>
      <c r="Q29" s="50"/>
    </row>
    <row r="30" spans="1:17">
      <c r="A30" s="48"/>
      <c r="B30" s="67" t="s">
        <v>77</v>
      </c>
      <c r="C30" s="35">
        <v>1000</v>
      </c>
      <c r="D30" s="68" t="s">
        <v>6</v>
      </c>
      <c r="E30" s="69" t="s">
        <v>78</v>
      </c>
      <c r="F30" s="54"/>
      <c r="G30" s="54"/>
      <c r="H30" s="54"/>
      <c r="I30" s="54"/>
      <c r="J30" s="54"/>
      <c r="K30" s="54"/>
      <c r="L30" s="54"/>
      <c r="M30" s="54"/>
      <c r="N30" s="54"/>
      <c r="O30" s="54"/>
      <c r="P30" s="55"/>
      <c r="Q30" s="50"/>
    </row>
    <row r="31" spans="1:17">
      <c r="A31" s="48"/>
      <c r="B31" s="70" t="s">
        <v>79</v>
      </c>
      <c r="C31" s="37">
        <f>1/2.8/C29/C30</f>
        <v>1.0820590205326671E-8</v>
      </c>
      <c r="D31" s="68" t="s">
        <v>9</v>
      </c>
      <c r="E31" s="69"/>
      <c r="F31" s="126" t="s">
        <v>44</v>
      </c>
      <c r="G31" s="126"/>
      <c r="H31" s="126"/>
      <c r="I31" s="126"/>
      <c r="J31" s="126"/>
      <c r="K31" s="126"/>
      <c r="L31" s="126"/>
      <c r="M31" s="126"/>
      <c r="N31" s="126"/>
      <c r="O31" s="126"/>
      <c r="P31" s="127"/>
      <c r="Q31" s="50"/>
    </row>
    <row r="32" spans="1:17" ht="25.5">
      <c r="A32" s="48"/>
      <c r="B32" s="67" t="s">
        <v>202</v>
      </c>
      <c r="C32" s="38">
        <v>0.01</v>
      </c>
      <c r="D32" s="68" t="s">
        <v>20</v>
      </c>
      <c r="E32" s="69" t="s">
        <v>185</v>
      </c>
      <c r="F32" s="97"/>
      <c r="G32" s="98"/>
      <c r="H32" s="98"/>
      <c r="I32" s="98"/>
      <c r="J32" s="98"/>
      <c r="K32" s="98"/>
      <c r="L32" s="98"/>
      <c r="M32" s="98"/>
      <c r="N32" s="98"/>
      <c r="O32" s="98"/>
      <c r="P32" s="99"/>
      <c r="Q32" s="50"/>
    </row>
    <row r="33" spans="1:17" ht="27" customHeight="1">
      <c r="A33" s="48"/>
      <c r="B33" s="70" t="s">
        <v>52</v>
      </c>
      <c r="C33" s="39">
        <f>MAX((Vout-Vin_min)/Vout/fsw*Ioutmax/dVoutpkpk, 1/8/fsw*(ILpeak_max-ILvalley_max)/dVoutpkpk)</f>
        <v>7.7172403148634023E-5</v>
      </c>
      <c r="D33" s="68" t="s">
        <v>9</v>
      </c>
      <c r="E33" s="112" t="s">
        <v>37</v>
      </c>
      <c r="F33" s="111"/>
      <c r="G33" s="101"/>
      <c r="H33" s="101"/>
      <c r="I33" s="102"/>
      <c r="J33" s="101"/>
      <c r="K33" s="100"/>
      <c r="L33" s="101"/>
      <c r="M33" s="101"/>
      <c r="N33" s="101"/>
      <c r="O33" s="101"/>
      <c r="P33" s="113"/>
      <c r="Q33" s="114"/>
    </row>
    <row r="34" spans="1:17">
      <c r="A34" s="48"/>
      <c r="B34" s="128" t="s">
        <v>120</v>
      </c>
      <c r="C34" s="139">
        <v>2.8E-5</v>
      </c>
      <c r="D34" s="141" t="s">
        <v>9</v>
      </c>
      <c r="E34" s="134" t="s">
        <v>174</v>
      </c>
      <c r="F34" s="154"/>
      <c r="G34" s="137"/>
      <c r="H34" s="103"/>
      <c r="I34" s="103"/>
      <c r="J34" s="103"/>
      <c r="K34" s="103"/>
      <c r="L34" s="103"/>
      <c r="M34" s="103"/>
      <c r="N34" s="103"/>
      <c r="O34" s="103"/>
      <c r="P34" s="138"/>
      <c r="Q34" s="114"/>
    </row>
    <row r="35" spans="1:17">
      <c r="A35" s="48"/>
      <c r="B35" s="129"/>
      <c r="C35" s="140"/>
      <c r="D35" s="142"/>
      <c r="E35" s="135"/>
      <c r="F35" s="154"/>
      <c r="G35" s="137"/>
      <c r="H35" s="103"/>
      <c r="I35" s="104"/>
      <c r="J35" s="105"/>
      <c r="K35" s="103"/>
      <c r="L35" s="105"/>
      <c r="M35" s="105"/>
      <c r="N35" s="105"/>
      <c r="O35" s="105"/>
      <c r="P35" s="138"/>
      <c r="Q35" s="114"/>
    </row>
    <row r="36" spans="1:17" ht="15.75" customHeight="1">
      <c r="A36" s="48"/>
      <c r="B36" s="128" t="s">
        <v>121</v>
      </c>
      <c r="C36" s="139">
        <v>1E-3</v>
      </c>
      <c r="D36" s="141" t="s">
        <v>9</v>
      </c>
      <c r="E36" s="134" t="s">
        <v>127</v>
      </c>
      <c r="F36" s="154"/>
      <c r="G36" s="137"/>
      <c r="H36" s="103"/>
      <c r="I36" s="103"/>
      <c r="J36" s="103"/>
      <c r="K36" s="103"/>
      <c r="L36" s="103"/>
      <c r="M36" s="103"/>
      <c r="N36" s="103"/>
      <c r="O36" s="103"/>
      <c r="P36" s="138"/>
      <c r="Q36" s="114"/>
    </row>
    <row r="37" spans="1:17">
      <c r="A37" s="48"/>
      <c r="B37" s="129"/>
      <c r="C37" s="140"/>
      <c r="D37" s="142"/>
      <c r="E37" s="135"/>
      <c r="F37" s="154"/>
      <c r="G37" s="137"/>
      <c r="H37" s="103"/>
      <c r="I37" s="103"/>
      <c r="J37" s="103"/>
      <c r="K37" s="103"/>
      <c r="L37" s="103"/>
      <c r="M37" s="103"/>
      <c r="N37" s="105"/>
      <c r="O37" s="105"/>
      <c r="P37" s="138"/>
      <c r="Q37" s="114"/>
    </row>
    <row r="38" spans="1:17">
      <c r="A38" s="48"/>
      <c r="B38" s="128" t="s">
        <v>171</v>
      </c>
      <c r="C38" s="157">
        <v>8.0000000000000002E-3</v>
      </c>
      <c r="D38" s="141" t="s">
        <v>28</v>
      </c>
      <c r="E38" s="134" t="s">
        <v>111</v>
      </c>
      <c r="F38" s="154"/>
      <c r="G38" s="137"/>
      <c r="H38" s="103"/>
      <c r="I38" s="103"/>
      <c r="J38" s="103"/>
      <c r="K38" s="103"/>
      <c r="L38" s="103"/>
      <c r="M38" s="105"/>
      <c r="N38" s="105"/>
      <c r="O38" s="105"/>
      <c r="P38" s="138"/>
      <c r="Q38" s="114"/>
    </row>
    <row r="39" spans="1:17">
      <c r="A39" s="48"/>
      <c r="B39" s="129"/>
      <c r="C39" s="158"/>
      <c r="D39" s="142"/>
      <c r="E39" s="135"/>
      <c r="F39" s="154"/>
      <c r="G39" s="137"/>
      <c r="H39" s="106"/>
      <c r="I39" s="107"/>
      <c r="J39" s="105"/>
      <c r="K39" s="103"/>
      <c r="L39" s="105"/>
      <c r="M39" s="105"/>
      <c r="N39" s="105"/>
      <c r="O39" s="105"/>
      <c r="P39" s="138"/>
      <c r="Q39" s="114"/>
    </row>
    <row r="40" spans="1:17">
      <c r="A40" s="48"/>
      <c r="B40" s="128" t="s">
        <v>198</v>
      </c>
      <c r="C40" s="155">
        <v>0.05</v>
      </c>
      <c r="D40" s="141" t="s">
        <v>20</v>
      </c>
      <c r="E40" s="134" t="s">
        <v>50</v>
      </c>
      <c r="F40" s="154"/>
      <c r="G40" s="137"/>
      <c r="H40" s="103"/>
      <c r="I40" s="103"/>
      <c r="J40" s="105"/>
      <c r="K40" s="103"/>
      <c r="L40" s="103"/>
      <c r="M40" s="103"/>
      <c r="N40" s="105"/>
      <c r="O40" s="105"/>
      <c r="P40" s="138"/>
      <c r="Q40" s="114"/>
    </row>
    <row r="41" spans="1:17">
      <c r="A41" s="48"/>
      <c r="B41" s="129"/>
      <c r="C41" s="156"/>
      <c r="D41" s="142"/>
      <c r="E41" s="135"/>
      <c r="F41" s="154"/>
      <c r="G41" s="137"/>
      <c r="H41" s="103"/>
      <c r="I41" s="103"/>
      <c r="J41" s="105"/>
      <c r="K41" s="105"/>
      <c r="L41" s="103"/>
      <c r="M41" s="103"/>
      <c r="N41" s="105"/>
      <c r="O41" s="105"/>
      <c r="P41" s="138"/>
      <c r="Q41" s="114"/>
    </row>
    <row r="42" spans="1:17">
      <c r="A42" s="48"/>
      <c r="B42" s="159" t="s">
        <v>51</v>
      </c>
      <c r="C42" s="161">
        <f>Ioutmax*0.25/dVinpkpk/fsw</f>
        <v>4.2444821731748729E-5</v>
      </c>
      <c r="D42" s="141" t="s">
        <v>9</v>
      </c>
      <c r="E42" s="134" t="s">
        <v>84</v>
      </c>
      <c r="F42" s="154"/>
      <c r="G42" s="137"/>
      <c r="H42" s="103"/>
      <c r="I42" s="103"/>
      <c r="J42" s="103"/>
      <c r="K42" s="103"/>
      <c r="L42" s="103"/>
      <c r="M42" s="103"/>
      <c r="N42" s="105"/>
      <c r="O42" s="105"/>
      <c r="P42" s="138"/>
      <c r="Q42" s="114"/>
    </row>
    <row r="43" spans="1:17">
      <c r="A43" s="48"/>
      <c r="B43" s="160"/>
      <c r="C43" s="162"/>
      <c r="D43" s="142"/>
      <c r="E43" s="135"/>
      <c r="F43" s="154"/>
      <c r="G43" s="137"/>
      <c r="H43" s="103"/>
      <c r="I43" s="103"/>
      <c r="J43" s="103"/>
      <c r="K43" s="103"/>
      <c r="L43" s="103"/>
      <c r="M43" s="103"/>
      <c r="N43" s="105"/>
      <c r="O43" s="105"/>
      <c r="P43" s="138"/>
      <c r="Q43" s="114"/>
    </row>
    <row r="44" spans="1:17">
      <c r="A44" s="48"/>
      <c r="B44" s="128" t="s">
        <v>53</v>
      </c>
      <c r="C44" s="139">
        <v>1E-4</v>
      </c>
      <c r="D44" s="141" t="s">
        <v>9</v>
      </c>
      <c r="E44" s="134" t="s">
        <v>31</v>
      </c>
      <c r="F44" s="136"/>
      <c r="G44" s="137"/>
      <c r="H44" s="103"/>
      <c r="I44" s="103"/>
      <c r="J44" s="103"/>
      <c r="K44" s="103"/>
      <c r="L44" s="103"/>
      <c r="M44" s="103"/>
      <c r="N44" s="105"/>
      <c r="O44" s="105"/>
      <c r="P44" s="138"/>
      <c r="Q44" s="114"/>
    </row>
    <row r="45" spans="1:17">
      <c r="A45" s="48"/>
      <c r="B45" s="129"/>
      <c r="C45" s="140"/>
      <c r="D45" s="142"/>
      <c r="E45" s="135"/>
      <c r="F45" s="136"/>
      <c r="G45" s="137"/>
      <c r="H45" s="103"/>
      <c r="I45" s="103"/>
      <c r="J45" s="103"/>
      <c r="K45" s="103"/>
      <c r="L45" s="103"/>
      <c r="M45" s="105"/>
      <c r="N45" s="105"/>
      <c r="O45" s="105"/>
      <c r="P45" s="138"/>
      <c r="Q45" s="114"/>
    </row>
    <row r="46" spans="1:17">
      <c r="A46" s="48"/>
      <c r="B46" s="128" t="s">
        <v>205</v>
      </c>
      <c r="C46" s="130">
        <v>0.94</v>
      </c>
      <c r="D46" s="132"/>
      <c r="E46" s="134" t="s">
        <v>39</v>
      </c>
      <c r="F46" s="136"/>
      <c r="G46" s="137"/>
      <c r="H46" s="103"/>
      <c r="I46" s="103"/>
      <c r="J46" s="103"/>
      <c r="K46" s="103"/>
      <c r="L46" s="103"/>
      <c r="M46" s="103"/>
      <c r="N46" s="103"/>
      <c r="O46" s="103"/>
      <c r="P46" s="138"/>
      <c r="Q46" s="114"/>
    </row>
    <row r="47" spans="1:17">
      <c r="A47" s="48"/>
      <c r="B47" s="129"/>
      <c r="C47" s="131"/>
      <c r="D47" s="133"/>
      <c r="E47" s="135"/>
      <c r="F47" s="136"/>
      <c r="G47" s="137"/>
      <c r="H47" s="108"/>
      <c r="I47" s="108"/>
      <c r="J47" s="108"/>
      <c r="K47" s="108"/>
      <c r="L47" s="109"/>
      <c r="M47" s="109"/>
      <c r="N47" s="110"/>
      <c r="O47" s="109"/>
      <c r="P47" s="138"/>
      <c r="Q47" s="114"/>
    </row>
    <row r="48" spans="1:17">
      <c r="A48" s="48"/>
      <c r="B48" s="128" t="s">
        <v>11</v>
      </c>
      <c r="C48" s="163">
        <v>0.6</v>
      </c>
      <c r="D48" s="132"/>
      <c r="E48" s="134" t="s">
        <v>86</v>
      </c>
      <c r="F48" s="136"/>
      <c r="G48" s="137"/>
      <c r="H48" s="105"/>
      <c r="I48" s="105"/>
      <c r="J48" s="105"/>
      <c r="K48" s="105"/>
      <c r="L48" s="105"/>
      <c r="M48" s="103"/>
      <c r="N48" s="105"/>
      <c r="O48" s="105"/>
      <c r="P48" s="138"/>
      <c r="Q48" s="114"/>
    </row>
    <row r="49" spans="1:17">
      <c r="A49" s="48"/>
      <c r="B49" s="129"/>
      <c r="C49" s="164"/>
      <c r="D49" s="133"/>
      <c r="E49" s="135"/>
      <c r="F49" s="136"/>
      <c r="G49" s="137"/>
      <c r="H49" s="105"/>
      <c r="I49" s="105"/>
      <c r="J49" s="105"/>
      <c r="K49" s="105"/>
      <c r="L49" s="105"/>
      <c r="M49" s="103"/>
      <c r="N49" s="105"/>
      <c r="O49" s="105"/>
      <c r="P49" s="138"/>
      <c r="Q49" s="114"/>
    </row>
    <row r="50" spans="1:17" ht="25.5">
      <c r="A50" s="48"/>
      <c r="B50" s="67" t="s">
        <v>97</v>
      </c>
      <c r="C50" s="39">
        <f>IF(Vout&gt;Vin_min, Vin_min^2*eff*(Vout-Vin_min)/(K*Ioutmax*fsw*Vout^2), (1-Vout/Vin_max)*Vout/(K*Ioutmax*fsw))</f>
        <v>4.8361372639810648E-7</v>
      </c>
      <c r="D50" s="68" t="s">
        <v>5</v>
      </c>
      <c r="E50" s="69" t="s">
        <v>85</v>
      </c>
      <c r="F50" s="54"/>
      <c r="G50" s="54"/>
      <c r="H50" s="54"/>
      <c r="I50" s="54"/>
      <c r="J50" s="54"/>
      <c r="K50" s="54"/>
      <c r="L50" s="54"/>
      <c r="M50" s="54"/>
      <c r="N50" s="54"/>
      <c r="O50" s="54"/>
      <c r="P50" s="55"/>
      <c r="Q50" s="50"/>
    </row>
    <row r="51" spans="1:17" ht="15.6" customHeight="1">
      <c r="A51" s="48"/>
      <c r="B51" s="67" t="s">
        <v>17</v>
      </c>
      <c r="C51" s="40">
        <v>3.3000000000000002E-6</v>
      </c>
      <c r="D51" s="68" t="s">
        <v>5</v>
      </c>
      <c r="E51" s="69"/>
      <c r="F51" s="54"/>
      <c r="G51" s="54"/>
      <c r="H51" s="54"/>
      <c r="I51" s="54"/>
      <c r="J51" s="54"/>
      <c r="K51" s="54"/>
      <c r="L51" s="54"/>
      <c r="M51" s="54"/>
      <c r="N51" s="54"/>
      <c r="O51" s="54"/>
      <c r="P51" s="55"/>
      <c r="Q51" s="50"/>
    </row>
    <row r="52" spans="1:17">
      <c r="A52" s="48"/>
      <c r="B52" s="67" t="s">
        <v>162</v>
      </c>
      <c r="C52" s="34">
        <f>IF(Vout&gt;Vin_min, ((Ioutmax/(Vin_min/Vout)/eff)^2+1/12*(Vin_min/L*(1-Vin_min/Vout)/fsw)^2)^0.5, ((Ioutmax^2+1/12*(Vout/L*(1-Vout/Vin_max)/fsw)^2)^0.5))</f>
        <v>5.8529484572509309</v>
      </c>
      <c r="D52" s="68" t="s">
        <v>19</v>
      </c>
      <c r="E52" s="69" t="s">
        <v>14</v>
      </c>
      <c r="F52" s="54"/>
      <c r="G52" s="54"/>
      <c r="H52" s="54"/>
      <c r="I52" s="54"/>
      <c r="J52" s="54"/>
      <c r="K52" s="54"/>
      <c r="L52" s="54"/>
      <c r="M52" s="54"/>
      <c r="N52" s="54"/>
      <c r="O52" s="54"/>
      <c r="P52" s="55"/>
      <c r="Q52" s="50"/>
    </row>
    <row r="53" spans="1:17" ht="25.5" customHeight="1">
      <c r="A53" s="48"/>
      <c r="B53" s="67" t="s">
        <v>164</v>
      </c>
      <c r="C53" s="34">
        <f>IF(Vout&gt;Vin_min, (Ioutmax/(Vin_min/Vout)/eff+(1/2*Vin_min/L*(1-Vin_min/Vout)/fsw)), Ioutmax+1/2*(Vout*(1-Vout/Vin_max)/L/fsw))</f>
        <v>6.1083051736160137</v>
      </c>
      <c r="D53" s="68" t="s">
        <v>4</v>
      </c>
      <c r="E53" s="69" t="s">
        <v>208</v>
      </c>
      <c r="F53" s="54"/>
      <c r="G53" s="72"/>
      <c r="H53" s="73"/>
      <c r="I53" s="72"/>
      <c r="J53" s="71"/>
      <c r="K53" s="54"/>
      <c r="L53" s="54"/>
      <c r="M53" s="54"/>
      <c r="N53" s="54"/>
      <c r="O53" s="54"/>
      <c r="P53" s="55"/>
      <c r="Q53" s="50"/>
    </row>
    <row r="54" spans="1:17" ht="14.45" customHeight="1">
      <c r="A54" s="48"/>
      <c r="B54" s="67" t="s">
        <v>244</v>
      </c>
      <c r="C54" s="34">
        <f>(ILpeak_max+ILvalley_max)/2</f>
        <v>5.8510638297872335</v>
      </c>
      <c r="D54" s="68" t="s">
        <v>4</v>
      </c>
      <c r="E54" s="69" t="s">
        <v>245</v>
      </c>
      <c r="F54" s="54"/>
      <c r="G54" s="72"/>
      <c r="H54" s="73"/>
      <c r="I54" s="72"/>
      <c r="J54" s="71"/>
      <c r="K54" s="54"/>
      <c r="L54" s="54"/>
      <c r="M54" s="54"/>
      <c r="N54" s="54"/>
      <c r="O54" s="54"/>
      <c r="P54" s="55"/>
      <c r="Q54" s="50"/>
    </row>
    <row r="55" spans="1:17">
      <c r="A55" s="48"/>
      <c r="B55" s="67" t="s">
        <v>165</v>
      </c>
      <c r="C55" s="34">
        <f>IF(Vout&gt;Vin_min, (Ioutmax/(Vin_min/Vout)/eff-(1/2*Vin_min/L*(1-Vin_min/Vout)/fsw)), Ioutmax-1/2*(Vout*(1-Vout/Vin_max)/L/fsw))</f>
        <v>5.5938224859584533</v>
      </c>
      <c r="D55" s="68" t="s">
        <v>4</v>
      </c>
      <c r="E55" s="69"/>
      <c r="F55" s="54"/>
      <c r="G55" s="72"/>
      <c r="H55" s="73"/>
      <c r="I55" s="72"/>
      <c r="J55" s="71"/>
      <c r="K55" s="54"/>
      <c r="L55" s="54"/>
      <c r="M55" s="54"/>
      <c r="N55" s="54"/>
      <c r="O55" s="54"/>
      <c r="P55" s="55"/>
      <c r="Q55" s="50"/>
    </row>
    <row r="56" spans="1:17">
      <c r="A56" s="48"/>
      <c r="B56" s="67" t="s">
        <v>186</v>
      </c>
      <c r="C56" s="94">
        <v>8</v>
      </c>
      <c r="D56" s="68" t="s">
        <v>4</v>
      </c>
      <c r="E56" s="69" t="s">
        <v>243</v>
      </c>
      <c r="F56" s="54"/>
      <c r="G56" s="72"/>
      <c r="H56" s="73"/>
      <c r="I56" s="72"/>
      <c r="J56" s="71"/>
      <c r="K56" s="54"/>
      <c r="L56" s="54"/>
      <c r="M56" s="54"/>
      <c r="N56" s="54"/>
      <c r="O56" s="54"/>
      <c r="P56" s="55"/>
      <c r="Q56" s="50"/>
    </row>
    <row r="57" spans="1:17">
      <c r="A57" s="48"/>
      <c r="B57" s="74" t="s">
        <v>87</v>
      </c>
      <c r="C57" s="41">
        <v>0</v>
      </c>
      <c r="D57" s="68" t="s">
        <v>89</v>
      </c>
      <c r="E57" s="69" t="s">
        <v>88</v>
      </c>
      <c r="F57" s="54"/>
      <c r="G57" s="72"/>
      <c r="H57" s="73"/>
      <c r="I57" s="72"/>
      <c r="J57" s="71"/>
      <c r="K57" s="54"/>
      <c r="L57" s="54"/>
      <c r="M57" s="54"/>
      <c r="N57" s="54"/>
      <c r="O57" s="54"/>
      <c r="P57" s="55"/>
      <c r="Q57" s="50"/>
    </row>
    <row r="58" spans="1:17">
      <c r="A58" s="48"/>
      <c r="B58" s="70" t="s">
        <v>95</v>
      </c>
      <c r="C58" s="42" t="str">
        <f>IF((C57=0), "floating", 3*R_7/C57)</f>
        <v>floating</v>
      </c>
      <c r="D58" s="68" t="s">
        <v>49</v>
      </c>
      <c r="E58" s="69" t="s">
        <v>96</v>
      </c>
      <c r="F58" s="54"/>
      <c r="G58" s="54"/>
      <c r="H58" s="54"/>
      <c r="I58" s="54"/>
      <c r="J58" s="54"/>
      <c r="K58" s="54"/>
      <c r="L58" s="54"/>
      <c r="M58" s="54"/>
      <c r="N58" s="54"/>
      <c r="O58" s="54"/>
      <c r="P58" s="55"/>
      <c r="Q58" s="50"/>
    </row>
    <row r="59" spans="1:17">
      <c r="A59" s="48"/>
      <c r="B59" s="125" t="s">
        <v>182</v>
      </c>
      <c r="C59" s="123"/>
      <c r="D59" s="123"/>
      <c r="E59" s="123"/>
      <c r="F59" s="122" t="s">
        <v>150</v>
      </c>
      <c r="G59" s="123"/>
      <c r="H59" s="123"/>
      <c r="I59" s="123"/>
      <c r="J59" s="123"/>
      <c r="K59" s="123"/>
      <c r="L59" s="123"/>
      <c r="M59" s="123"/>
      <c r="N59" s="123"/>
      <c r="O59" s="123"/>
      <c r="P59" s="124"/>
      <c r="Q59" s="50"/>
    </row>
    <row r="60" spans="1:17">
      <c r="A60" s="48"/>
      <c r="B60" s="67" t="s">
        <v>0</v>
      </c>
      <c r="C60" s="23">
        <v>10</v>
      </c>
      <c r="D60" s="68" t="s">
        <v>3</v>
      </c>
      <c r="E60" s="117" t="s">
        <v>184</v>
      </c>
      <c r="F60" s="54"/>
      <c r="G60" s="54"/>
      <c r="H60" s="54"/>
      <c r="I60" s="54"/>
      <c r="J60" s="54"/>
      <c r="K60" s="54"/>
      <c r="L60" s="54"/>
      <c r="M60" s="54"/>
      <c r="N60" s="54"/>
      <c r="O60" s="54"/>
      <c r="P60" s="55"/>
      <c r="Q60" s="50"/>
    </row>
    <row r="61" spans="1:17">
      <c r="A61" s="48"/>
      <c r="B61" s="67" t="s">
        <v>30</v>
      </c>
      <c r="C61" s="115">
        <f>Vout</f>
        <v>12.1</v>
      </c>
      <c r="D61" s="68" t="s">
        <v>3</v>
      </c>
      <c r="E61" s="118"/>
      <c r="F61" s="54"/>
      <c r="G61" s="54"/>
      <c r="H61" s="54"/>
      <c r="I61" s="54"/>
      <c r="J61" s="54"/>
      <c r="K61" s="54"/>
      <c r="L61" s="54"/>
      <c r="M61" s="54"/>
      <c r="N61" s="54"/>
      <c r="O61" s="54"/>
      <c r="P61" s="55"/>
      <c r="Q61" s="50"/>
    </row>
    <row r="62" spans="1:17" ht="12.75" customHeight="1">
      <c r="A62" s="75"/>
      <c r="B62" s="67" t="s">
        <v>146</v>
      </c>
      <c r="C62" s="31" t="str">
        <f>IF((Vin_LP &gt; Vout_LP),"Buck","Boost")</f>
        <v>Boost</v>
      </c>
      <c r="D62" s="68"/>
      <c r="E62" s="69" t="s">
        <v>158</v>
      </c>
      <c r="F62" s="54"/>
      <c r="G62" s="54"/>
      <c r="H62" s="54"/>
      <c r="I62" s="54"/>
      <c r="J62" s="54"/>
      <c r="K62" s="54"/>
      <c r="L62" s="54"/>
      <c r="M62" s="54"/>
      <c r="N62" s="54"/>
      <c r="O62" s="54"/>
      <c r="P62" s="55"/>
      <c r="Q62" s="50"/>
    </row>
    <row r="63" spans="1:17" ht="12.75" customHeight="1">
      <c r="A63" s="75"/>
      <c r="B63" s="67" t="s">
        <v>211</v>
      </c>
      <c r="C63" s="43">
        <f>17+Ioutmax/2.5</f>
        <v>19</v>
      </c>
      <c r="D63" s="68" t="s">
        <v>124</v>
      </c>
      <c r="E63" s="69" t="s">
        <v>126</v>
      </c>
      <c r="F63" s="54"/>
      <c r="G63" s="54"/>
      <c r="H63" s="54"/>
      <c r="I63" s="54"/>
      <c r="J63" s="54"/>
      <c r="K63" s="54"/>
      <c r="L63" s="54"/>
      <c r="M63" s="54"/>
      <c r="N63" s="54"/>
      <c r="O63" s="54"/>
      <c r="P63" s="55"/>
      <c r="Q63" s="50"/>
    </row>
    <row r="64" spans="1:17" ht="12.75" customHeight="1">
      <c r="A64" s="75"/>
      <c r="B64" s="67" t="s">
        <v>210</v>
      </c>
      <c r="C64" s="31">
        <f>IF((Op_mode="Buck"), Ioutmax/2/PI()/Vout_LP/(Cout_c+Cout_e), Ioutmax/PI()/Vout_LP/(Cout_c+Cout_e))</f>
        <v>127.95039963010527</v>
      </c>
      <c r="D64" s="68" t="s">
        <v>6</v>
      </c>
      <c r="E64" s="69" t="s">
        <v>149</v>
      </c>
      <c r="F64" s="54"/>
      <c r="G64" s="54"/>
      <c r="H64" s="54"/>
      <c r="I64" s="54"/>
      <c r="J64" s="54"/>
      <c r="K64" s="54"/>
      <c r="L64" s="54"/>
      <c r="M64" s="54"/>
      <c r="N64" s="54"/>
      <c r="O64" s="54"/>
      <c r="P64" s="55"/>
      <c r="Q64" s="50"/>
    </row>
    <row r="65" spans="1:17" ht="12.75" customHeight="1">
      <c r="A65" s="75"/>
      <c r="B65" s="67" t="s">
        <v>214</v>
      </c>
      <c r="C65" s="31">
        <f>IF(Op_mode="Boost", Vout_LP*(eff*Vin_LP/Vout_LP)^2/2/PI()/L/Ioutmax, "No RPHZ")</f>
        <v>70437.920218381492</v>
      </c>
      <c r="D65" s="68" t="s">
        <v>6</v>
      </c>
      <c r="E65" s="69" t="s">
        <v>147</v>
      </c>
      <c r="F65" s="54"/>
      <c r="G65" s="54"/>
      <c r="H65" s="54"/>
      <c r="I65" s="54"/>
      <c r="J65" s="54"/>
      <c r="K65" s="54"/>
      <c r="L65" s="54"/>
      <c r="M65" s="54"/>
      <c r="N65" s="54"/>
      <c r="O65" s="54"/>
      <c r="P65" s="55"/>
      <c r="Q65" s="50"/>
    </row>
    <row r="66" spans="1:17" ht="12.75" customHeight="1">
      <c r="A66" s="75"/>
      <c r="B66" s="67" t="s">
        <v>215</v>
      </c>
      <c r="C66" s="31">
        <f>1/2/PI()/Cout_e/ESR</f>
        <v>19894.367886486918</v>
      </c>
      <c r="D66" s="68" t="s">
        <v>6</v>
      </c>
      <c r="E66" s="69" t="s">
        <v>148</v>
      </c>
      <c r="F66" s="54"/>
      <c r="G66" s="54"/>
      <c r="H66" s="54"/>
      <c r="I66" s="54"/>
      <c r="J66" s="54"/>
      <c r="K66" s="54"/>
      <c r="L66" s="54"/>
      <c r="M66" s="54"/>
      <c r="N66" s="54"/>
      <c r="O66" s="54"/>
      <c r="P66" s="55"/>
      <c r="Q66" s="50"/>
    </row>
    <row r="67" spans="1:17" ht="12.75" customHeight="1">
      <c r="A67" s="75"/>
      <c r="B67" s="67" t="s">
        <v>27</v>
      </c>
      <c r="C67" s="22">
        <v>20000</v>
      </c>
      <c r="D67" s="68" t="s">
        <v>6</v>
      </c>
      <c r="E67" s="69" t="s">
        <v>32</v>
      </c>
      <c r="F67" s="54"/>
      <c r="G67" s="54"/>
      <c r="H67" s="54"/>
      <c r="I67" s="54"/>
      <c r="J67" s="54"/>
      <c r="K67" s="54"/>
      <c r="L67" s="54"/>
      <c r="M67" s="54"/>
      <c r="N67" s="54"/>
      <c r="O67" s="54"/>
      <c r="P67" s="55"/>
      <c r="Q67" s="50"/>
    </row>
    <row r="68" spans="1:17" ht="12.75" customHeight="1">
      <c r="A68" s="75"/>
      <c r="B68" s="67" t="s">
        <v>212</v>
      </c>
      <c r="C68" s="76">
        <v>1.9000000000000001E-4</v>
      </c>
      <c r="D68" s="68" t="s">
        <v>124</v>
      </c>
      <c r="E68" s="69" t="s">
        <v>125</v>
      </c>
      <c r="F68" s="54"/>
      <c r="G68" s="54"/>
      <c r="H68" s="54"/>
      <c r="I68" s="54"/>
      <c r="J68" s="54"/>
      <c r="K68" s="54"/>
      <c r="L68" s="54"/>
      <c r="M68" s="54"/>
      <c r="N68" s="54"/>
      <c r="O68" s="54"/>
      <c r="P68" s="55"/>
      <c r="Q68" s="50"/>
    </row>
    <row r="69" spans="1:17">
      <c r="A69" s="75"/>
      <c r="B69" s="70" t="s">
        <v>90</v>
      </c>
      <c r="C69" s="25">
        <f>IF(Op_mode="Boost", 2*PI()*fco*(Cout_c+Cout_e)*Vout/1.129/gm_PS/(eff*Vin_LP/Vout_LP)/gm_EA, 2*PI()*fco*(Cout_c+Cout_e)*Vout/1.129/gm_PS/gm_EA)</f>
        <v>493679.0775107182</v>
      </c>
      <c r="D69" s="68" t="s">
        <v>28</v>
      </c>
      <c r="E69" s="68"/>
      <c r="F69" s="54"/>
      <c r="G69" s="54"/>
      <c r="H69" s="54"/>
      <c r="I69" s="54"/>
      <c r="J69" s="54"/>
      <c r="K69" s="54"/>
      <c r="L69" s="54"/>
      <c r="M69" s="54"/>
      <c r="N69" s="54"/>
      <c r="O69" s="54"/>
      <c r="P69" s="55"/>
      <c r="Q69" s="50"/>
    </row>
    <row r="70" spans="1:17">
      <c r="A70" s="75"/>
      <c r="B70" s="67" t="s">
        <v>110</v>
      </c>
      <c r="C70" s="22">
        <v>487000</v>
      </c>
      <c r="D70" s="68" t="s">
        <v>28</v>
      </c>
      <c r="E70" s="68" t="s">
        <v>169</v>
      </c>
      <c r="F70" s="54"/>
      <c r="G70" s="54"/>
      <c r="H70" s="54"/>
      <c r="I70" s="54"/>
      <c r="J70" s="54"/>
      <c r="K70" s="54"/>
      <c r="L70" s="54"/>
      <c r="M70" s="54"/>
      <c r="N70" s="54"/>
      <c r="O70" s="54"/>
      <c r="P70" s="55"/>
      <c r="Q70" s="50"/>
    </row>
    <row r="71" spans="1:17">
      <c r="A71" s="75"/>
      <c r="B71" s="70" t="s">
        <v>91</v>
      </c>
      <c r="C71" s="39">
        <f>1/(2*PI()*(fco/10)*(Rcomp+2000))</f>
        <v>1.6273511563588484E-10</v>
      </c>
      <c r="D71" s="68" t="s">
        <v>9</v>
      </c>
      <c r="E71" s="68" t="s">
        <v>218</v>
      </c>
      <c r="F71" s="54"/>
      <c r="G71" s="54"/>
      <c r="H71" s="54"/>
      <c r="I71" s="54"/>
      <c r="J71" s="54"/>
      <c r="K71" s="54"/>
      <c r="L71" s="54"/>
      <c r="M71" s="54"/>
      <c r="N71" s="54"/>
      <c r="O71" s="54"/>
      <c r="P71" s="55"/>
      <c r="Q71" s="50"/>
    </row>
    <row r="72" spans="1:17">
      <c r="A72" s="75"/>
      <c r="B72" s="67" t="s">
        <v>92</v>
      </c>
      <c r="C72" s="40">
        <v>4.7000000000000003E-10</v>
      </c>
      <c r="D72" s="68" t="s">
        <v>9</v>
      </c>
      <c r="E72" s="68"/>
      <c r="F72" s="54"/>
      <c r="G72" s="54"/>
      <c r="H72" s="54"/>
      <c r="I72" s="54"/>
      <c r="J72" s="54"/>
      <c r="K72" s="54"/>
      <c r="L72" s="54"/>
      <c r="M72" s="54"/>
      <c r="N72" s="54"/>
      <c r="O72" s="54"/>
      <c r="P72" s="55"/>
      <c r="Q72" s="50"/>
    </row>
    <row r="73" spans="1:17">
      <c r="A73" s="75"/>
      <c r="B73" s="67" t="s">
        <v>213</v>
      </c>
      <c r="C73" s="25">
        <f>1/2/PI()/(Rcomp+2000)/Ccomp</f>
        <v>692.48985376972257</v>
      </c>
      <c r="D73" s="68" t="s">
        <v>6</v>
      </c>
      <c r="E73" s="68" t="s">
        <v>217</v>
      </c>
      <c r="F73" s="54"/>
      <c r="G73" s="54"/>
      <c r="H73" s="54"/>
      <c r="I73" s="54"/>
      <c r="J73" s="54"/>
      <c r="K73" s="54"/>
      <c r="L73" s="54"/>
      <c r="M73" s="54"/>
      <c r="N73" s="54"/>
      <c r="O73" s="54"/>
      <c r="P73" s="55"/>
      <c r="Q73" s="50"/>
    </row>
    <row r="74" spans="1:17" ht="38.25">
      <c r="A74" s="75"/>
      <c r="B74" s="70" t="s">
        <v>93</v>
      </c>
      <c r="C74" s="44">
        <f>Ccomp*(IF(fzRHP&gt;fz_ESR, (Cout_e*ESR/Rcomp)/(Ccomp-Cout_e*ESR/Rcomp), (1/2/PI()/fzRHP/Rcomp)/(Ccomp-1/2/PI()/fzRHP/Rcomp)))</f>
        <v>1.702204717280094E-11</v>
      </c>
      <c r="D74" s="68" t="s">
        <v>9</v>
      </c>
      <c r="E74" s="69" t="s">
        <v>221</v>
      </c>
      <c r="F74" s="71"/>
      <c r="G74" s="54"/>
      <c r="H74" s="54"/>
      <c r="I74" s="54"/>
      <c r="J74" s="54"/>
      <c r="K74" s="54"/>
      <c r="L74" s="54"/>
      <c r="M74" s="54"/>
      <c r="N74" s="54"/>
      <c r="O74" s="54"/>
      <c r="P74" s="55"/>
      <c r="Q74" s="50"/>
    </row>
    <row r="75" spans="1:17">
      <c r="A75" s="75"/>
      <c r="B75" s="77" t="s">
        <v>94</v>
      </c>
      <c r="C75" s="45">
        <v>1.7999999999999999E-11</v>
      </c>
      <c r="D75" s="78" t="s">
        <v>9</v>
      </c>
      <c r="E75" s="78"/>
      <c r="F75" s="54"/>
      <c r="G75" s="54"/>
      <c r="H75" s="54"/>
      <c r="I75" s="54"/>
      <c r="J75" s="54"/>
      <c r="K75" s="54"/>
      <c r="L75" s="54"/>
      <c r="M75" s="54"/>
      <c r="N75" s="54"/>
      <c r="O75" s="54"/>
      <c r="P75" s="55"/>
      <c r="Q75" s="50"/>
    </row>
    <row r="76" spans="1:17">
      <c r="A76" s="75"/>
      <c r="B76" s="77" t="s">
        <v>216</v>
      </c>
      <c r="C76" s="26">
        <f>1/2/PI()/(Rcomp+2000)/(Ccomp*(Cp+0.000000000003)/(Ccomp+Cp+0.000000000003))</f>
        <v>16191.072295282564</v>
      </c>
      <c r="D76" s="78" t="s">
        <v>6</v>
      </c>
      <c r="E76" s="78" t="s">
        <v>183</v>
      </c>
      <c r="F76" s="54"/>
      <c r="G76" s="54"/>
      <c r="H76" s="54"/>
      <c r="I76" s="54"/>
      <c r="J76" s="54"/>
      <c r="K76" s="54"/>
      <c r="L76" s="54"/>
      <c r="M76" s="54"/>
      <c r="N76" s="54"/>
      <c r="O76" s="54"/>
      <c r="P76" s="55"/>
      <c r="Q76" s="50"/>
    </row>
    <row r="77" spans="1:17">
      <c r="A77" s="75"/>
      <c r="B77" s="121" t="s">
        <v>209</v>
      </c>
      <c r="C77" s="119"/>
      <c r="D77" s="119"/>
      <c r="E77" s="119"/>
      <c r="F77" s="54"/>
      <c r="G77" s="54"/>
      <c r="H77" s="54"/>
      <c r="I77" s="54"/>
      <c r="J77" s="54"/>
      <c r="K77" s="54"/>
      <c r="L77" s="54"/>
      <c r="M77" s="54"/>
      <c r="N77" s="54"/>
      <c r="O77" s="54"/>
      <c r="P77" s="55"/>
      <c r="Q77" s="50"/>
    </row>
    <row r="78" spans="1:17">
      <c r="A78" s="75"/>
      <c r="B78" s="67" t="s">
        <v>0</v>
      </c>
      <c r="C78" s="23">
        <v>10</v>
      </c>
      <c r="D78" s="79" t="s">
        <v>3</v>
      </c>
      <c r="E78" s="79" t="s">
        <v>192</v>
      </c>
      <c r="F78" s="54"/>
      <c r="G78" s="54"/>
      <c r="H78" s="54"/>
      <c r="I78" s="54"/>
      <c r="J78" s="54"/>
      <c r="K78" s="54"/>
      <c r="L78" s="54"/>
      <c r="M78" s="54"/>
      <c r="N78" s="54"/>
      <c r="O78" s="54"/>
      <c r="P78" s="55"/>
      <c r="Q78" s="50"/>
    </row>
    <row r="79" spans="1:17">
      <c r="A79" s="75"/>
      <c r="B79" s="67" t="s">
        <v>1</v>
      </c>
      <c r="C79" s="46">
        <f>IF(Vin_eff&lt;Vout, ((Ioutmax/(Vin_eff/Vout)/eff)^2+1/12*(Vin_eff/L*(1-Vin_eff/Vout)/fsw)^2)^0.5, ((Ioutmax^2+1/12*(Vout/L*(1-Vout/Vin_eff)/fsw)^2)^0.5))</f>
        <v>6.4413295816703187</v>
      </c>
      <c r="D79" s="68" t="s">
        <v>4</v>
      </c>
      <c r="E79" s="69" t="s">
        <v>163</v>
      </c>
      <c r="F79" s="54"/>
      <c r="G79" s="54"/>
      <c r="H79" s="54"/>
      <c r="I79" s="54"/>
      <c r="J79" s="54"/>
      <c r="K79" s="54"/>
      <c r="L79" s="54"/>
      <c r="M79" s="54"/>
      <c r="N79" s="54"/>
      <c r="O79" s="54"/>
      <c r="P79" s="55"/>
      <c r="Q79" s="50"/>
    </row>
    <row r="80" spans="1:17">
      <c r="A80" s="75"/>
      <c r="B80" s="67" t="s">
        <v>7</v>
      </c>
      <c r="C80" s="46">
        <f>IF(Vin_eff&lt;Vout, (Ioutmax/(Vin_eff/Vout)/eff+(1/2*Vin_eff/L*(1-Vin_eff/Vout)/fsw)), Ioutmax+1/2*(Vout*(1-Vout/Vin_eff)/L/fsw))</f>
        <v>6.8826221318076417</v>
      </c>
      <c r="D80" s="68" t="s">
        <v>4</v>
      </c>
      <c r="E80" s="69" t="s">
        <v>166</v>
      </c>
      <c r="F80" s="54"/>
      <c r="G80" s="54"/>
      <c r="H80" s="54"/>
      <c r="I80" s="54"/>
      <c r="J80" s="54"/>
      <c r="K80" s="54"/>
      <c r="L80" s="54"/>
      <c r="M80" s="54"/>
      <c r="N80" s="54"/>
      <c r="O80" s="54"/>
      <c r="P80" s="55"/>
      <c r="Q80" s="50"/>
    </row>
    <row r="81" spans="1:17">
      <c r="A81" s="75"/>
      <c r="B81" s="67" t="s">
        <v>207</v>
      </c>
      <c r="C81" s="46">
        <f>IF(Vin_eff&lt;Vout, (Ioutmax/(Vin_eff/Vout)/eff-(1/2*Vin_eff/L*(1-Vin_eff/Vout)/fsw)),Ioutmax-1/2*(Vout*(1-Vout/Vin_eff)/L/fsw))</f>
        <v>5.9897182937242732</v>
      </c>
      <c r="D81" s="68" t="s">
        <v>4</v>
      </c>
      <c r="E81" s="69" t="s">
        <v>167</v>
      </c>
      <c r="F81" s="54"/>
      <c r="G81" s="54"/>
      <c r="H81" s="54"/>
      <c r="I81" s="54"/>
      <c r="J81" s="54"/>
      <c r="K81" s="54"/>
      <c r="L81" s="54"/>
      <c r="M81" s="54"/>
      <c r="N81" s="54"/>
      <c r="O81" s="54"/>
      <c r="P81" s="55"/>
      <c r="Q81" s="50"/>
    </row>
    <row r="82" spans="1:17">
      <c r="A82" s="48"/>
      <c r="B82" s="67" t="s">
        <v>21</v>
      </c>
      <c r="C82" s="29">
        <v>2.8000000000000001E-2</v>
      </c>
      <c r="D82" s="68" t="s">
        <v>28</v>
      </c>
      <c r="E82" s="69" t="s">
        <v>15</v>
      </c>
      <c r="F82" s="54"/>
      <c r="G82" s="54"/>
      <c r="H82" s="54"/>
      <c r="I82" s="54"/>
      <c r="J82" s="54"/>
      <c r="K82" s="54"/>
      <c r="L82" s="54"/>
      <c r="M82" s="54"/>
      <c r="N82" s="54"/>
      <c r="O82" s="54"/>
      <c r="P82" s="55"/>
      <c r="Q82" s="50"/>
    </row>
    <row r="83" spans="1:17" ht="25.5">
      <c r="A83" s="48"/>
      <c r="B83" s="67" t="s">
        <v>61</v>
      </c>
      <c r="C83" s="29">
        <v>1.8200000000000001E-2</v>
      </c>
      <c r="D83" s="68" t="s">
        <v>28</v>
      </c>
      <c r="E83" s="69" t="s">
        <v>233</v>
      </c>
      <c r="F83" s="54"/>
      <c r="G83" s="72"/>
      <c r="H83" s="73"/>
      <c r="I83" s="72"/>
      <c r="J83" s="71"/>
      <c r="K83" s="54"/>
      <c r="L83" s="54"/>
      <c r="M83" s="54"/>
      <c r="N83" s="54"/>
      <c r="O83" s="54"/>
      <c r="P83" s="55"/>
      <c r="Q83" s="50"/>
    </row>
    <row r="84" spans="1:17" hidden="1">
      <c r="A84" s="48"/>
      <c r="B84" s="67" t="s">
        <v>67</v>
      </c>
      <c r="C84" s="40">
        <v>5.0000000000000001E-9</v>
      </c>
      <c r="D84" s="68" t="s">
        <v>68</v>
      </c>
      <c r="E84" s="69" t="s">
        <v>70</v>
      </c>
      <c r="F84" s="54"/>
      <c r="G84" s="72"/>
      <c r="H84" s="73"/>
      <c r="I84" s="72"/>
      <c r="J84" s="71"/>
      <c r="K84" s="54"/>
      <c r="L84" s="54"/>
      <c r="M84" s="54"/>
      <c r="N84" s="54"/>
      <c r="O84" s="54"/>
      <c r="P84" s="55"/>
      <c r="Q84" s="50"/>
    </row>
    <row r="85" spans="1:17" hidden="1">
      <c r="A85" s="48"/>
      <c r="B85" s="67" t="s">
        <v>219</v>
      </c>
      <c r="C85" s="40">
        <v>2.0000000000000001E-10</v>
      </c>
      <c r="D85" s="68" t="s">
        <v>9</v>
      </c>
      <c r="E85" s="69" t="s">
        <v>220</v>
      </c>
      <c r="F85" s="54"/>
      <c r="G85" s="72"/>
      <c r="H85" s="73"/>
      <c r="I85" s="72"/>
      <c r="J85" s="71"/>
      <c r="K85" s="54"/>
      <c r="L85" s="54"/>
      <c r="M85" s="54"/>
      <c r="N85" s="54"/>
      <c r="O85" s="54"/>
      <c r="P85" s="55"/>
      <c r="Q85" s="50"/>
    </row>
    <row r="86" spans="1:17">
      <c r="A86" s="48"/>
      <c r="B86" s="67" t="s">
        <v>62</v>
      </c>
      <c r="C86" s="95">
        <v>1.3000000000000001E-8</v>
      </c>
      <c r="D86" s="68" t="s">
        <v>8</v>
      </c>
      <c r="E86" s="69" t="s">
        <v>193</v>
      </c>
      <c r="F86" s="54"/>
      <c r="G86" s="80"/>
      <c r="H86" s="54"/>
      <c r="I86" s="54"/>
      <c r="J86" s="54"/>
      <c r="K86" s="54"/>
      <c r="L86" s="54"/>
      <c r="M86" s="54"/>
      <c r="N86" s="54"/>
      <c r="O86" s="54"/>
      <c r="P86" s="55"/>
      <c r="Q86" s="50"/>
    </row>
    <row r="87" spans="1:17">
      <c r="A87" s="48"/>
      <c r="B87" s="67" t="s">
        <v>63</v>
      </c>
      <c r="C87" s="95">
        <v>1.3000000000000001E-8</v>
      </c>
      <c r="D87" s="68" t="s">
        <v>8</v>
      </c>
      <c r="E87" s="69" t="s">
        <v>194</v>
      </c>
      <c r="F87" s="54"/>
      <c r="G87" s="54"/>
      <c r="H87" s="54"/>
      <c r="I87" s="54"/>
      <c r="J87" s="54"/>
      <c r="K87" s="54"/>
      <c r="L87" s="54"/>
      <c r="M87" s="54"/>
      <c r="N87" s="54"/>
      <c r="O87" s="54"/>
      <c r="P87" s="55"/>
      <c r="Q87" s="50"/>
    </row>
    <row r="88" spans="1:17" ht="25.5">
      <c r="A88" s="48"/>
      <c r="B88" s="67" t="s">
        <v>64</v>
      </c>
      <c r="C88" s="29">
        <v>2.86E-2</v>
      </c>
      <c r="D88" s="68" t="s">
        <v>28</v>
      </c>
      <c r="E88" s="69" t="s">
        <v>238</v>
      </c>
      <c r="F88" s="54"/>
      <c r="G88" s="54"/>
      <c r="H88" s="54"/>
      <c r="I88" s="54"/>
      <c r="J88" s="54"/>
      <c r="K88" s="54"/>
      <c r="L88" s="54"/>
      <c r="M88" s="54"/>
      <c r="N88" s="54"/>
      <c r="O88" s="54"/>
      <c r="P88" s="55"/>
      <c r="Q88" s="50"/>
    </row>
    <row r="89" spans="1:17" hidden="1">
      <c r="A89" s="48"/>
      <c r="B89" s="67" t="s">
        <v>69</v>
      </c>
      <c r="C89" s="40">
        <v>5.0000000000000001E-9</v>
      </c>
      <c r="D89" s="68" t="s">
        <v>68</v>
      </c>
      <c r="E89" s="69" t="s">
        <v>70</v>
      </c>
      <c r="F89" s="54"/>
      <c r="G89" s="54"/>
      <c r="H89" s="54"/>
      <c r="I89" s="54"/>
      <c r="J89" s="54"/>
      <c r="K89" s="54"/>
      <c r="L89" s="54"/>
      <c r="M89" s="54"/>
      <c r="N89" s="54"/>
      <c r="O89" s="54"/>
      <c r="P89" s="55"/>
      <c r="Q89" s="50"/>
    </row>
    <row r="90" spans="1:17" hidden="1">
      <c r="A90" s="48"/>
      <c r="B90" s="67" t="s">
        <v>180</v>
      </c>
      <c r="C90" s="40">
        <v>5.0000000000000001E-9</v>
      </c>
      <c r="D90" s="68" t="s">
        <v>68</v>
      </c>
      <c r="E90" s="69" t="s">
        <v>181</v>
      </c>
      <c r="F90" s="54"/>
      <c r="G90" s="54"/>
      <c r="H90" s="54"/>
      <c r="I90" s="54"/>
      <c r="J90" s="54"/>
      <c r="K90" s="54"/>
      <c r="L90" s="54"/>
      <c r="M90" s="54"/>
      <c r="N90" s="54"/>
      <c r="O90" s="54"/>
      <c r="P90" s="55"/>
      <c r="Q90" s="50"/>
    </row>
    <row r="91" spans="1:17">
      <c r="A91" s="48"/>
      <c r="B91" s="67" t="s">
        <v>65</v>
      </c>
      <c r="C91" s="76">
        <v>1E-8</v>
      </c>
      <c r="D91" s="68" t="s">
        <v>8</v>
      </c>
      <c r="E91" s="69" t="s">
        <v>72</v>
      </c>
      <c r="F91" s="54"/>
      <c r="G91" s="54"/>
      <c r="H91" s="54"/>
      <c r="I91" s="54"/>
      <c r="J91" s="54"/>
      <c r="K91" s="54"/>
      <c r="L91" s="54"/>
      <c r="M91" s="54"/>
      <c r="N91" s="54"/>
      <c r="O91" s="54"/>
      <c r="P91" s="55"/>
      <c r="Q91" s="50"/>
    </row>
    <row r="92" spans="1:17">
      <c r="A92" s="48"/>
      <c r="B92" s="67" t="s">
        <v>66</v>
      </c>
      <c r="C92" s="23">
        <v>0.8</v>
      </c>
      <c r="D92" s="68" t="s">
        <v>3</v>
      </c>
      <c r="E92" s="69" t="s">
        <v>29</v>
      </c>
      <c r="F92" s="54"/>
      <c r="G92" s="54"/>
      <c r="H92" s="54"/>
      <c r="I92" s="54"/>
      <c r="J92" s="54"/>
      <c r="K92" s="54"/>
      <c r="L92" s="54"/>
      <c r="M92" s="54"/>
      <c r="N92" s="54"/>
      <c r="O92" s="54"/>
      <c r="P92" s="55"/>
      <c r="Q92" s="50"/>
    </row>
    <row r="93" spans="1:17" ht="25.5">
      <c r="A93" s="48"/>
      <c r="B93" s="67" t="s">
        <v>55</v>
      </c>
      <c r="C93" s="29">
        <v>1.43E-2</v>
      </c>
      <c r="D93" s="68" t="s">
        <v>28</v>
      </c>
      <c r="E93" s="69" t="s">
        <v>234</v>
      </c>
      <c r="F93" s="54"/>
      <c r="G93" s="72"/>
      <c r="H93" s="73"/>
      <c r="I93" s="72"/>
      <c r="J93" s="71"/>
      <c r="K93" s="54"/>
      <c r="L93" s="54"/>
      <c r="M93" s="54"/>
      <c r="N93" s="54"/>
      <c r="O93" s="54"/>
      <c r="P93" s="55"/>
      <c r="Q93" s="50"/>
    </row>
    <row r="94" spans="1:17">
      <c r="A94" s="48"/>
      <c r="B94" s="67" t="s">
        <v>56</v>
      </c>
      <c r="C94" s="76">
        <v>8.9999999999999995E-9</v>
      </c>
      <c r="D94" s="68" t="s">
        <v>8</v>
      </c>
      <c r="E94" s="69" t="s">
        <v>204</v>
      </c>
      <c r="F94" s="54"/>
      <c r="G94" s="80"/>
      <c r="H94" s="54"/>
      <c r="I94" s="54"/>
      <c r="J94" s="54"/>
      <c r="K94" s="54"/>
      <c r="L94" s="54"/>
      <c r="M94" s="54"/>
      <c r="N94" s="54"/>
      <c r="O94" s="54"/>
      <c r="P94" s="55"/>
      <c r="Q94" s="50"/>
    </row>
    <row r="95" spans="1:17">
      <c r="A95" s="48"/>
      <c r="B95" s="67" t="s">
        <v>57</v>
      </c>
      <c r="C95" s="76">
        <v>1.3000000000000001E-8</v>
      </c>
      <c r="D95" s="68" t="s">
        <v>8</v>
      </c>
      <c r="E95" s="69" t="s">
        <v>203</v>
      </c>
      <c r="F95" s="54"/>
      <c r="G95" s="54"/>
      <c r="H95" s="54"/>
      <c r="I95" s="54"/>
      <c r="J95" s="54"/>
      <c r="K95" s="54"/>
      <c r="L95" s="54"/>
      <c r="M95" s="54"/>
      <c r="N95" s="54"/>
      <c r="O95" s="54"/>
      <c r="P95" s="55"/>
      <c r="Q95" s="50"/>
    </row>
    <row r="96" spans="1:17" ht="25.5">
      <c r="A96" s="48"/>
      <c r="B96" s="67" t="s">
        <v>58</v>
      </c>
      <c r="C96" s="29">
        <v>1.2999999999999999E-2</v>
      </c>
      <c r="D96" s="68" t="s">
        <v>28</v>
      </c>
      <c r="E96" s="69" t="s">
        <v>239</v>
      </c>
      <c r="F96" s="54"/>
      <c r="G96" s="54"/>
      <c r="H96" s="54"/>
      <c r="I96" s="54"/>
      <c r="J96" s="54"/>
      <c r="K96" s="54"/>
      <c r="L96" s="54"/>
      <c r="M96" s="54"/>
      <c r="N96" s="54"/>
      <c r="O96" s="54"/>
      <c r="P96" s="55"/>
      <c r="Q96" s="50"/>
    </row>
    <row r="97" spans="1:17">
      <c r="A97" s="48"/>
      <c r="B97" s="67" t="s">
        <v>59</v>
      </c>
      <c r="C97" s="76">
        <v>2E-8</v>
      </c>
      <c r="D97" s="68" t="s">
        <v>8</v>
      </c>
      <c r="E97" s="69" t="s">
        <v>72</v>
      </c>
      <c r="F97" s="54"/>
      <c r="G97" s="54"/>
      <c r="H97" s="54"/>
      <c r="I97" s="54"/>
      <c r="J97" s="54"/>
      <c r="K97" s="54"/>
      <c r="L97" s="54"/>
      <c r="M97" s="54"/>
      <c r="N97" s="54"/>
      <c r="O97" s="54"/>
      <c r="P97" s="55"/>
      <c r="Q97" s="50"/>
    </row>
    <row r="98" spans="1:17">
      <c r="A98" s="48"/>
      <c r="B98" s="67" t="s">
        <v>60</v>
      </c>
      <c r="C98" s="33">
        <v>1</v>
      </c>
      <c r="D98" s="68" t="s">
        <v>3</v>
      </c>
      <c r="E98" s="69" t="s">
        <v>29</v>
      </c>
      <c r="F98" s="54"/>
      <c r="G98" s="54"/>
      <c r="H98" s="54"/>
      <c r="I98" s="54"/>
      <c r="J98" s="54"/>
      <c r="K98" s="54"/>
      <c r="L98" s="54"/>
      <c r="M98" s="54"/>
      <c r="N98" s="54"/>
      <c r="O98" s="54"/>
      <c r="P98" s="55"/>
      <c r="Q98" s="50"/>
    </row>
    <row r="99" spans="1:17">
      <c r="A99" s="48"/>
      <c r="B99" s="67" t="s">
        <v>159</v>
      </c>
      <c r="C99" s="47">
        <v>0</v>
      </c>
      <c r="D99" s="68" t="s">
        <v>9</v>
      </c>
      <c r="E99" s="69" t="s">
        <v>187</v>
      </c>
      <c r="F99" s="54"/>
      <c r="G99" s="54"/>
      <c r="H99" s="54"/>
      <c r="I99" s="54"/>
      <c r="J99" s="54"/>
      <c r="K99" s="54"/>
      <c r="L99" s="54"/>
      <c r="M99" s="54"/>
      <c r="N99" s="54"/>
      <c r="O99" s="54"/>
      <c r="P99" s="55"/>
      <c r="Q99" s="50"/>
    </row>
    <row r="100" spans="1:17">
      <c r="A100" s="48"/>
      <c r="B100" s="67" t="s">
        <v>117</v>
      </c>
      <c r="C100" s="47">
        <v>0</v>
      </c>
      <c r="D100" s="68" t="s">
        <v>9</v>
      </c>
      <c r="E100" s="69" t="s">
        <v>116</v>
      </c>
      <c r="F100" s="54"/>
      <c r="G100" s="54"/>
      <c r="H100" s="54"/>
      <c r="I100" s="54"/>
      <c r="J100" s="54"/>
      <c r="K100" s="54"/>
      <c r="L100" s="54"/>
      <c r="M100" s="54"/>
      <c r="N100" s="54"/>
      <c r="O100" s="54"/>
      <c r="P100" s="55"/>
      <c r="Q100" s="50"/>
    </row>
    <row r="101" spans="1:17">
      <c r="A101" s="48"/>
      <c r="B101" s="74" t="s">
        <v>118</v>
      </c>
      <c r="C101" s="23">
        <v>2</v>
      </c>
      <c r="D101" s="68" t="s">
        <v>196</v>
      </c>
      <c r="E101" s="69" t="s">
        <v>145</v>
      </c>
      <c r="F101" s="54"/>
      <c r="G101" s="54"/>
      <c r="H101" s="54"/>
      <c r="I101" s="54"/>
      <c r="J101" s="54"/>
      <c r="K101" s="54"/>
      <c r="L101" s="54"/>
      <c r="M101" s="54"/>
      <c r="N101" s="54"/>
      <c r="O101" s="54"/>
      <c r="P101" s="55"/>
      <c r="Q101" s="50"/>
    </row>
    <row r="102" spans="1:17">
      <c r="A102" s="48"/>
      <c r="B102" s="74" t="s">
        <v>119</v>
      </c>
      <c r="C102" s="25">
        <f>Rpcb*(ILrms^2)</f>
        <v>82.98145355940224</v>
      </c>
      <c r="D102" s="68" t="s">
        <v>10</v>
      </c>
      <c r="E102" s="69" t="s">
        <v>128</v>
      </c>
      <c r="F102" s="54"/>
      <c r="G102" s="54"/>
      <c r="H102" s="54"/>
      <c r="I102" s="54"/>
      <c r="J102" s="54"/>
      <c r="K102" s="54"/>
      <c r="L102" s="54"/>
      <c r="M102" s="54"/>
      <c r="N102" s="54"/>
      <c r="O102" s="54"/>
      <c r="P102" s="55"/>
      <c r="Q102" s="50"/>
    </row>
    <row r="103" spans="1:17">
      <c r="A103" s="75"/>
      <c r="B103" s="67" t="s">
        <v>74</v>
      </c>
      <c r="C103" s="25">
        <f>(ILrms)^2*DCR*1000</f>
        <v>1161.7403498316314</v>
      </c>
      <c r="D103" s="68" t="s">
        <v>10</v>
      </c>
      <c r="E103" s="69" t="s">
        <v>18</v>
      </c>
      <c r="F103" s="54"/>
      <c r="G103" s="54"/>
      <c r="H103" s="54"/>
      <c r="I103" s="54"/>
      <c r="J103" s="54"/>
      <c r="K103" s="54"/>
      <c r="L103" s="54"/>
      <c r="M103" s="54"/>
      <c r="N103" s="54"/>
      <c r="O103" s="54"/>
      <c r="P103" s="55"/>
      <c r="Q103" s="50"/>
    </row>
    <row r="104" spans="1:17" ht="37.9" customHeight="1">
      <c r="A104" s="75"/>
      <c r="B104" s="67" t="s">
        <v>161</v>
      </c>
      <c r="C104" s="22">
        <v>50</v>
      </c>
      <c r="D104" s="68" t="s">
        <v>10</v>
      </c>
      <c r="E104" s="69" t="s">
        <v>229</v>
      </c>
      <c r="F104" s="54"/>
      <c r="G104" s="54"/>
      <c r="H104" s="54"/>
      <c r="I104" s="54"/>
      <c r="J104" s="54"/>
      <c r="K104" s="54"/>
      <c r="L104" s="54"/>
      <c r="M104" s="54"/>
      <c r="N104" s="54"/>
      <c r="O104" s="54"/>
      <c r="P104" s="55"/>
      <c r="Q104" s="50"/>
    </row>
    <row r="105" spans="1:17">
      <c r="A105" s="75"/>
      <c r="B105" s="74" t="s">
        <v>235</v>
      </c>
      <c r="C105" s="25">
        <f>IF(Vin_eff&lt;Vout, ((0.001+0.00000001*fsw)*IF(AND(Vout&gt;Vin_eff, Vin_eff&gt;6.2), Vin_eff, Vout)+(1-Vin_eff/Vout)*ILrms^2*BST_LS_Rdson+(Vin_eff/Vout)*ILrms^2*BST_HS_Rdson+1/2*ILpeak*(Vout+BST_HS_Vd)*BST_LS_rise_time*fsw+1/2*ILvalley*(Vout+BST_HS_Vd)*BST_LS_fall_time*fsw+1/2*0.0000000005*(Vout+BST_HS_Vd)*(Vout+BST_HS_Vd)*fsw+(ILpeak+ILvalley)*BST_HS_Vd*BST_HS_dead_time*fsw+Vout*0.000000005*fsw)*1000+ (ILrms)^2*(BUCK_HS_Rdson)*1000, ((0.001+(BUCK_HS_Qg+BUCK_LS_Qg)*fsw)*IF(AND(Vin_eff&gt;Vout, Vout&gt;6.2), Vout, Vin_eff)+BST_HS_Rdson*ILrms^2)*1000+ ((Vout/Vin_eff)*ILrms^2*BUCK_HS_Rdson+1/2*ILpeak*(Vin_eff+BUCK_LS_Vd)*BUCK_HS_fall_time*fsw+1/2*ILvalley*(Vin_eff+BUCK_LS_Vd)*BUCK_HS_rise_time*fsw+1/2*BUCK_HS_Coss*(Vin_eff+BUCK_LS_Vd)*(Vin_eff+BUCK_LS_Vd)*fsw)*1000+ ((1-Vout/Vin_eff)*ILrms^2*BUCK_LS_Rdson+(ILpeak+ILvalley)*BUCK_LS_Vd*BUCK_LS_dead_time*fsw+Vin_eff*BUCK_LS_Qrr*fsw)*1000)</f>
        <v>2138.4709090732626</v>
      </c>
      <c r="D105" s="68" t="s">
        <v>10</v>
      </c>
      <c r="E105" s="69" t="s">
        <v>240</v>
      </c>
      <c r="F105" s="54"/>
      <c r="G105" s="54"/>
      <c r="H105" s="54"/>
      <c r="I105" s="54"/>
      <c r="J105" s="54"/>
      <c r="K105" s="54"/>
      <c r="L105" s="54"/>
      <c r="M105" s="54"/>
      <c r="N105" s="54"/>
      <c r="O105" s="54"/>
      <c r="P105" s="55"/>
      <c r="Q105" s="50"/>
    </row>
    <row r="106" spans="1:17">
      <c r="A106" s="75"/>
      <c r="B106" s="81" t="s">
        <v>115</v>
      </c>
      <c r="C106" s="26">
        <f>Ioutmax*Ioutmax*R_1</f>
        <v>250</v>
      </c>
      <c r="D106" s="68" t="s">
        <v>10</v>
      </c>
      <c r="E106" s="82" t="s">
        <v>189</v>
      </c>
      <c r="F106" s="54"/>
      <c r="G106" s="54"/>
      <c r="H106" s="54"/>
      <c r="I106" s="54"/>
      <c r="J106" s="54"/>
      <c r="K106" s="54"/>
      <c r="L106" s="54"/>
      <c r="M106" s="54"/>
      <c r="N106" s="54"/>
      <c r="O106" s="54"/>
      <c r="P106" s="55"/>
      <c r="Q106" s="50"/>
    </row>
    <row r="107" spans="1:17">
      <c r="A107" s="75"/>
      <c r="B107" s="81" t="s">
        <v>160</v>
      </c>
      <c r="C107" s="26">
        <f>IF(Vin_eff&lt;Vout, 2/3*C_bst_snubber*(Vout+BST_HS_Vd)*(Vout+BST_HS_Vd)*fsw*1000, 2/3*C_buck_snubber*(Vin_eff+BUCK_LS_Vd)*(Vin_eff+BUCK_LS_Vd)*fsw*1000)</f>
        <v>0</v>
      </c>
      <c r="D107" s="68" t="s">
        <v>10</v>
      </c>
      <c r="E107" s="82" t="s">
        <v>190</v>
      </c>
      <c r="F107" s="54"/>
      <c r="G107" s="54"/>
      <c r="H107" s="54"/>
      <c r="I107" s="54"/>
      <c r="J107" s="54"/>
      <c r="K107" s="54"/>
      <c r="L107" s="54"/>
      <c r="M107" s="54"/>
      <c r="N107" s="54"/>
      <c r="O107" s="54"/>
      <c r="P107" s="55"/>
      <c r="Q107" s="50"/>
    </row>
    <row r="108" spans="1:17">
      <c r="A108" s="75"/>
      <c r="B108" s="81" t="s">
        <v>188</v>
      </c>
      <c r="C108" s="26">
        <f>IF(Vin_eff&lt;Vout, 1000*ESR*(G108+H108), 0)</f>
        <v>15.948472774648073</v>
      </c>
      <c r="D108" s="78" t="s">
        <v>10</v>
      </c>
      <c r="E108" s="82" t="s">
        <v>191</v>
      </c>
      <c r="F108" s="96">
        <f>ESR*Cout_c*Cout_e/(Cout_c+Cout_e)</f>
        <v>2.178988326848249E-7</v>
      </c>
      <c r="G108" s="96">
        <f>(fsw*(Cout_e/(Cout_c+Cout_e))^2*(Ioutmax^2*(Vout-Vin_eff)/Vout/fsw+2*Ioutmax*((1-EXP((-Vin_eff/Vout)/tou/fsw))/(1-EXP(-1/tou/fsw))*(ILpeak+ILvalley)/2*tou*(EXP(-1/tou*(1-Vin_eff/Vout)/fsw)-1))-((1-EXP((-Vin_eff/Vout)/tou/fsw))/(1-EXP(-1/tou/fsw))*(ILpeak+ILvalley)/2)^2*tou/2*(EXP(-2/tou*(1-Vin_eff/Vout)/fsw)-1)))</f>
        <v>0.65940575715303495</v>
      </c>
      <c r="H108" s="96">
        <f>(fsw*(Cout_e/(Cout_c+Cout_e))^2*((((ILpeak+ILvalley)/2-Ioutmax)^2*Vin_eff/Vout/fsw+2*((ILpeak+ILvalley)/2-Ioutmax)*((1-EXP(-(1-Vin_eff/Vout)/tou/fsw))/(1-EXP(-1/tou/fsw))*(ILpeak+ILvalley)/2*tou*(EXP(-1/tou*(Vin_eff/Vout)/fsw)-1))-((1-EXP(-(1-Vin_eff/Vout)/tou/fsw))/(1-EXP(-1/tou/fsw))*(ILpeak+ILvalley)/2)^2*tou/2*(EXP(-2/tou*(1-Vin_eff/Vout/fsw))-1))))</f>
        <v>1.3341533396779741</v>
      </c>
      <c r="I108" s="54"/>
      <c r="J108" s="54"/>
      <c r="K108" s="54"/>
      <c r="L108" s="54"/>
      <c r="M108" s="54"/>
      <c r="N108" s="54"/>
      <c r="O108" s="54"/>
      <c r="P108" s="55"/>
      <c r="Q108" s="50"/>
    </row>
    <row r="109" spans="1:17">
      <c r="A109" s="75"/>
      <c r="B109" s="77" t="s">
        <v>206</v>
      </c>
      <c r="C109" s="27">
        <f>IF(Vin_eff&lt;Vout, Vout*Ioutmax/(Vout*Ioutmax+(C102+C103+C104+C105+C106+C107+C108)/1000), Vout*Ioutmax/(Vout*Ioutmax+(C102+C103+C104+C105+C106+C107)/1000))</f>
        <v>0.94238020763291031</v>
      </c>
      <c r="D109" s="78"/>
      <c r="E109" s="82" t="s">
        <v>168</v>
      </c>
      <c r="F109" s="54"/>
      <c r="G109" s="54"/>
      <c r="H109" s="54"/>
      <c r="I109" s="54"/>
      <c r="J109" s="54"/>
      <c r="K109" s="54"/>
      <c r="L109" s="54"/>
      <c r="M109" s="54"/>
      <c r="N109" s="54"/>
      <c r="O109" s="54"/>
      <c r="P109" s="55"/>
      <c r="Q109" s="50"/>
    </row>
    <row r="110" spans="1:17" ht="25.5">
      <c r="A110" s="75"/>
      <c r="B110" s="67" t="s">
        <v>199</v>
      </c>
      <c r="C110" s="22">
        <v>33</v>
      </c>
      <c r="D110" s="68" t="s">
        <v>114</v>
      </c>
      <c r="E110" s="69" t="s">
        <v>236</v>
      </c>
      <c r="F110" s="54"/>
      <c r="G110" s="54"/>
      <c r="H110" s="54"/>
      <c r="I110" s="54"/>
      <c r="J110" s="54"/>
      <c r="K110" s="54"/>
      <c r="L110" s="54"/>
      <c r="M110" s="54"/>
      <c r="N110" s="54"/>
      <c r="O110" s="54"/>
      <c r="P110" s="55"/>
      <c r="Q110" s="50"/>
    </row>
    <row r="111" spans="1:17" ht="26.25" thickBot="1">
      <c r="A111" s="75"/>
      <c r="B111" s="83" t="s">
        <v>241</v>
      </c>
      <c r="C111" s="28">
        <f>C110*(C105)/1000</f>
        <v>70.569539999417671</v>
      </c>
      <c r="D111" s="84" t="s">
        <v>71</v>
      </c>
      <c r="E111" s="85" t="s">
        <v>200</v>
      </c>
      <c r="F111" s="86"/>
      <c r="G111" s="86"/>
      <c r="H111" s="86"/>
      <c r="I111" s="86"/>
      <c r="J111" s="86"/>
      <c r="K111" s="86"/>
      <c r="L111" s="86"/>
      <c r="M111" s="86"/>
      <c r="N111" s="86"/>
      <c r="O111" s="86"/>
      <c r="P111" s="87"/>
      <c r="Q111" s="50"/>
    </row>
    <row r="112" spans="1:17" ht="13.5" thickTop="1">
      <c r="A112" s="75"/>
      <c r="B112" s="50"/>
      <c r="C112" s="88"/>
      <c r="D112" s="50"/>
      <c r="E112" s="89"/>
      <c r="F112" s="50"/>
      <c r="G112" s="50"/>
      <c r="H112" s="50"/>
      <c r="I112" s="50"/>
      <c r="J112" s="50"/>
      <c r="K112" s="50"/>
      <c r="L112" s="50"/>
      <c r="M112" s="50"/>
      <c r="N112" s="50"/>
      <c r="O112" s="50"/>
      <c r="P112" s="50"/>
      <c r="Q112" s="50"/>
    </row>
    <row r="115" spans="3:8">
      <c r="D115" s="91"/>
      <c r="H115" s="91"/>
    </row>
    <row r="116" spans="3:8">
      <c r="C116" s="92"/>
    </row>
  </sheetData>
  <dataConsolidate/>
  <customSheetViews>
    <customSheetView guid="{0F8159A6-236F-4F54-A569-A835A6AD5DA8}" topLeftCell="A94">
      <selection activeCell="C116" sqref="C116"/>
      <pageMargins left="0.75" right="0.75" top="1" bottom="1" header="0.5" footer="0.5"/>
      <pageSetup orientation="portrait" r:id="rId1"/>
      <headerFooter alignWithMargins="0"/>
    </customSheetView>
  </customSheetViews>
  <mergeCells count="68">
    <mergeCell ref="G48:G49"/>
    <mergeCell ref="P48:P49"/>
    <mergeCell ref="B48:B49"/>
    <mergeCell ref="C48:C49"/>
    <mergeCell ref="D48:D49"/>
    <mergeCell ref="E48:E49"/>
    <mergeCell ref="F48:F49"/>
    <mergeCell ref="G42:G43"/>
    <mergeCell ref="P42:P43"/>
    <mergeCell ref="P44:P45"/>
    <mergeCell ref="B44:B45"/>
    <mergeCell ref="C44:C45"/>
    <mergeCell ref="D44:D45"/>
    <mergeCell ref="E44:E45"/>
    <mergeCell ref="F44:F45"/>
    <mergeCell ref="G44:G45"/>
    <mergeCell ref="B42:B43"/>
    <mergeCell ref="C42:C43"/>
    <mergeCell ref="D42:D43"/>
    <mergeCell ref="E42:E43"/>
    <mergeCell ref="F42:F43"/>
    <mergeCell ref="G36:G37"/>
    <mergeCell ref="P36:P37"/>
    <mergeCell ref="G38:G39"/>
    <mergeCell ref="P38:P39"/>
    <mergeCell ref="B40:B41"/>
    <mergeCell ref="C40:C41"/>
    <mergeCell ref="D40:D41"/>
    <mergeCell ref="E40:E41"/>
    <mergeCell ref="F40:F41"/>
    <mergeCell ref="G40:G41"/>
    <mergeCell ref="P40:P41"/>
    <mergeCell ref="B38:B39"/>
    <mergeCell ref="C38:C39"/>
    <mergeCell ref="D38:D39"/>
    <mergeCell ref="E38:E39"/>
    <mergeCell ref="F38:F39"/>
    <mergeCell ref="B36:B37"/>
    <mergeCell ref="C36:C37"/>
    <mergeCell ref="D36:D37"/>
    <mergeCell ref="E36:E37"/>
    <mergeCell ref="F36:F37"/>
    <mergeCell ref="D34:D35"/>
    <mergeCell ref="B7:J7"/>
    <mergeCell ref="B2:P2"/>
    <mergeCell ref="B3:P3"/>
    <mergeCell ref="B4:P4"/>
    <mergeCell ref="B6:P6"/>
    <mergeCell ref="E34:E35"/>
    <mergeCell ref="F34:F35"/>
    <mergeCell ref="G34:G35"/>
    <mergeCell ref="P34:P35"/>
    <mergeCell ref="E60:E61"/>
    <mergeCell ref="F12:P12"/>
    <mergeCell ref="B77:E77"/>
    <mergeCell ref="F59:P59"/>
    <mergeCell ref="B13:E13"/>
    <mergeCell ref="B59:E59"/>
    <mergeCell ref="F31:P31"/>
    <mergeCell ref="B46:B47"/>
    <mergeCell ref="C46:C47"/>
    <mergeCell ref="D46:D47"/>
    <mergeCell ref="E46:E47"/>
    <mergeCell ref="F46:F47"/>
    <mergeCell ref="G46:G47"/>
    <mergeCell ref="P46:P47"/>
    <mergeCell ref="B34:B35"/>
    <mergeCell ref="C34:C35"/>
  </mergeCells>
  <phoneticPr fontId="2" type="noConversion"/>
  <conditionalFormatting sqref="C22">
    <cfRule type="expression" dxfId="12" priority="27" stopIfTrue="1">
      <formula>#REF!="External"</formula>
    </cfRule>
    <cfRule type="expression" dxfId="11" priority="28" stopIfTrue="1">
      <formula>#REF!="Internal"</formula>
    </cfRule>
  </conditionalFormatting>
  <conditionalFormatting sqref="C23">
    <cfRule type="expression" dxfId="10" priority="29">
      <formula>#REF!="External"</formula>
    </cfRule>
    <cfRule type="expression" dxfId="9" priority="30">
      <formula>#REF!="Internal"</formula>
    </cfRule>
  </conditionalFormatting>
  <conditionalFormatting sqref="C24">
    <cfRule type="expression" dxfId="8" priority="8">
      <formula>#REF!="Disable"</formula>
    </cfRule>
    <cfRule type="expression" dxfId="7" priority="9">
      <formula>#REF!="Enable"</formula>
    </cfRule>
  </conditionalFormatting>
  <conditionalFormatting sqref="C54">
    <cfRule type="cellIs" dxfId="6" priority="1" operator="greaterThan">
      <formula>7</formula>
    </cfRule>
  </conditionalFormatting>
  <conditionalFormatting sqref="C57">
    <cfRule type="expression" dxfId="5" priority="4">
      <formula>#REF!="External"</formula>
    </cfRule>
    <cfRule type="expression" dxfId="4" priority="5">
      <formula>#REF!="Internal"</formula>
    </cfRule>
  </conditionalFormatting>
  <conditionalFormatting sqref="C58">
    <cfRule type="expression" dxfId="3" priority="6">
      <formula>#REF!="External"</formula>
    </cfRule>
    <cfRule type="expression" dxfId="2" priority="7">
      <formula>#REF!="Internal"</formula>
    </cfRule>
  </conditionalFormatting>
  <conditionalFormatting sqref="C65">
    <cfRule type="expression" dxfId="1" priority="10">
      <formula>$C$62="Boost"</formula>
    </cfRule>
    <cfRule type="expression" dxfId="0" priority="11">
      <formula>$C$62="Buck"</formula>
    </cfRule>
  </conditionalFormatting>
  <dataValidations count="5">
    <dataValidation type="list" allowBlank="1" showInputMessage="1" showErrorMessage="1" sqref="C18" xr:uid="{00000000-0002-0000-0000-000000000000}">
      <formula1>"Internal, External"</formula1>
    </dataValidation>
    <dataValidation type="list" allowBlank="1" showInputMessage="1" showErrorMessage="1" sqref="C20" xr:uid="{00000000-0002-0000-0000-000002000000}">
      <formula1>"FPWM, APFM"</formula1>
    </dataValidation>
    <dataValidation type="list" allowBlank="1" showInputMessage="1" showErrorMessage="1" sqref="H47" xr:uid="{00000000-0002-0000-0000-00000A000000}">
      <formula1>"OFF -0,ON -1"</formula1>
    </dataValidation>
    <dataValidation type="list" allowBlank="1" showInputMessage="1" showErrorMessage="1" sqref="I47:K47" xr:uid="{00000000-0002-0000-0000-00000B000000}">
      <formula1>"DIS -0,ENA -1"</formula1>
    </dataValidation>
    <dataValidation type="custom" allowBlank="1" showInputMessage="1" showErrorMessage="1" sqref="S16" xr:uid="{00000000-0002-0000-0000-00000E000000}">
      <formula1>"AND(S15=""Internal""）"</formula1>
    </dataValidation>
  </dataValidations>
  <pageMargins left="0.75" right="0.75" top="1" bottom="1" header="0.5" footer="0.5"/>
  <pageSetup orientation="portrait" r:id="rId2"/>
  <headerFooter alignWithMargins="0"/>
  <drawing r:id="rId3"/>
  <legacyDrawing r:id="rId4"/>
  <oleObjects>
    <mc:AlternateContent xmlns:mc="http://schemas.openxmlformats.org/markup-compatibility/2006">
      <mc:Choice Requires="x14">
        <oleObject progId="Visio.Drawing.11" shapeId="1209" r:id="rId5">
          <objectPr defaultSize="0" autoPict="0" r:id="rId6">
            <anchor moveWithCells="1">
              <from>
                <xdr:col>5</xdr:col>
                <xdr:colOff>57150</xdr:colOff>
                <xdr:row>12</xdr:row>
                <xdr:rowOff>38100</xdr:rowOff>
              </from>
              <to>
                <xdr:col>15</xdr:col>
                <xdr:colOff>200025</xdr:colOff>
                <xdr:row>32</xdr:row>
                <xdr:rowOff>161925</xdr:rowOff>
              </to>
            </anchor>
          </objectPr>
        </oleObject>
      </mc:Choice>
      <mc:Fallback>
        <oleObject progId="Visio.Drawing.11" shapeId="1209" r:id="rId5"/>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A31" sqref="A31"/>
    </sheetView>
  </sheetViews>
  <sheetFormatPr baseColWidth="10" defaultColWidth="9.140625" defaultRowHeight="12.75"/>
  <cols>
    <col min="1" max="1" width="128" customWidth="1"/>
    <col min="2" max="2" width="13.7109375" customWidth="1"/>
    <col min="257" max="257" width="128" customWidth="1"/>
    <col min="258" max="258" width="13.7109375" customWidth="1"/>
    <col min="513" max="513" width="128" customWidth="1"/>
    <col min="514" max="514" width="13.7109375" customWidth="1"/>
    <col min="769" max="769" width="128" customWidth="1"/>
    <col min="770" max="770" width="13.7109375" customWidth="1"/>
    <col min="1025" max="1025" width="128" customWidth="1"/>
    <col min="1026" max="1026" width="13.7109375" customWidth="1"/>
    <col min="1281" max="1281" width="128" customWidth="1"/>
    <col min="1282" max="1282" width="13.7109375" customWidth="1"/>
    <col min="1537" max="1537" width="128" customWidth="1"/>
    <col min="1538" max="1538" width="13.7109375" customWidth="1"/>
    <col min="1793" max="1793" width="128" customWidth="1"/>
    <col min="1794" max="1794" width="13.7109375" customWidth="1"/>
    <col min="2049" max="2049" width="128" customWidth="1"/>
    <col min="2050" max="2050" width="13.7109375" customWidth="1"/>
    <col min="2305" max="2305" width="128" customWidth="1"/>
    <col min="2306" max="2306" width="13.7109375" customWidth="1"/>
    <col min="2561" max="2561" width="128" customWidth="1"/>
    <col min="2562" max="2562" width="13.7109375" customWidth="1"/>
    <col min="2817" max="2817" width="128" customWidth="1"/>
    <col min="2818" max="2818" width="13.7109375" customWidth="1"/>
    <col min="3073" max="3073" width="128" customWidth="1"/>
    <col min="3074" max="3074" width="13.7109375" customWidth="1"/>
    <col min="3329" max="3329" width="128" customWidth="1"/>
    <col min="3330" max="3330" width="13.7109375" customWidth="1"/>
    <col min="3585" max="3585" width="128" customWidth="1"/>
    <col min="3586" max="3586" width="13.7109375" customWidth="1"/>
    <col min="3841" max="3841" width="128" customWidth="1"/>
    <col min="3842" max="3842" width="13.7109375" customWidth="1"/>
    <col min="4097" max="4097" width="128" customWidth="1"/>
    <col min="4098" max="4098" width="13.7109375" customWidth="1"/>
    <col min="4353" max="4353" width="128" customWidth="1"/>
    <col min="4354" max="4354" width="13.7109375" customWidth="1"/>
    <col min="4609" max="4609" width="128" customWidth="1"/>
    <col min="4610" max="4610" width="13.7109375" customWidth="1"/>
    <col min="4865" max="4865" width="128" customWidth="1"/>
    <col min="4866" max="4866" width="13.7109375" customWidth="1"/>
    <col min="5121" max="5121" width="128" customWidth="1"/>
    <col min="5122" max="5122" width="13.7109375" customWidth="1"/>
    <col min="5377" max="5377" width="128" customWidth="1"/>
    <col min="5378" max="5378" width="13.7109375" customWidth="1"/>
    <col min="5633" max="5633" width="128" customWidth="1"/>
    <col min="5634" max="5634" width="13.7109375" customWidth="1"/>
    <col min="5889" max="5889" width="128" customWidth="1"/>
    <col min="5890" max="5890" width="13.7109375" customWidth="1"/>
    <col min="6145" max="6145" width="128" customWidth="1"/>
    <col min="6146" max="6146" width="13.7109375" customWidth="1"/>
    <col min="6401" max="6401" width="128" customWidth="1"/>
    <col min="6402" max="6402" width="13.7109375" customWidth="1"/>
    <col min="6657" max="6657" width="128" customWidth="1"/>
    <col min="6658" max="6658" width="13.7109375" customWidth="1"/>
    <col min="6913" max="6913" width="128" customWidth="1"/>
    <col min="6914" max="6914" width="13.7109375" customWidth="1"/>
    <col min="7169" max="7169" width="128" customWidth="1"/>
    <col min="7170" max="7170" width="13.7109375" customWidth="1"/>
    <col min="7425" max="7425" width="128" customWidth="1"/>
    <col min="7426" max="7426" width="13.7109375" customWidth="1"/>
    <col min="7681" max="7681" width="128" customWidth="1"/>
    <col min="7682" max="7682" width="13.7109375" customWidth="1"/>
    <col min="7937" max="7937" width="128" customWidth="1"/>
    <col min="7938" max="7938" width="13.7109375" customWidth="1"/>
    <col min="8193" max="8193" width="128" customWidth="1"/>
    <col min="8194" max="8194" width="13.7109375" customWidth="1"/>
    <col min="8449" max="8449" width="128" customWidth="1"/>
    <col min="8450" max="8450" width="13.7109375" customWidth="1"/>
    <col min="8705" max="8705" width="128" customWidth="1"/>
    <col min="8706" max="8706" width="13.7109375" customWidth="1"/>
    <col min="8961" max="8961" width="128" customWidth="1"/>
    <col min="8962" max="8962" width="13.7109375" customWidth="1"/>
    <col min="9217" max="9217" width="128" customWidth="1"/>
    <col min="9218" max="9218" width="13.7109375" customWidth="1"/>
    <col min="9473" max="9473" width="128" customWidth="1"/>
    <col min="9474" max="9474" width="13.7109375" customWidth="1"/>
    <col min="9729" max="9729" width="128" customWidth="1"/>
    <col min="9730" max="9730" width="13.7109375" customWidth="1"/>
    <col min="9985" max="9985" width="128" customWidth="1"/>
    <col min="9986" max="9986" width="13.7109375" customWidth="1"/>
    <col min="10241" max="10241" width="128" customWidth="1"/>
    <col min="10242" max="10242" width="13.7109375" customWidth="1"/>
    <col min="10497" max="10497" width="128" customWidth="1"/>
    <col min="10498" max="10498" width="13.7109375" customWidth="1"/>
    <col min="10753" max="10753" width="128" customWidth="1"/>
    <col min="10754" max="10754" width="13.7109375" customWidth="1"/>
    <col min="11009" max="11009" width="128" customWidth="1"/>
    <col min="11010" max="11010" width="13.7109375" customWidth="1"/>
    <col min="11265" max="11265" width="128" customWidth="1"/>
    <col min="11266" max="11266" width="13.7109375" customWidth="1"/>
    <col min="11521" max="11521" width="128" customWidth="1"/>
    <col min="11522" max="11522" width="13.7109375" customWidth="1"/>
    <col min="11777" max="11777" width="128" customWidth="1"/>
    <col min="11778" max="11778" width="13.7109375" customWidth="1"/>
    <col min="12033" max="12033" width="128" customWidth="1"/>
    <col min="12034" max="12034" width="13.7109375" customWidth="1"/>
    <col min="12289" max="12289" width="128" customWidth="1"/>
    <col min="12290" max="12290" width="13.7109375" customWidth="1"/>
    <col min="12545" max="12545" width="128" customWidth="1"/>
    <col min="12546" max="12546" width="13.7109375" customWidth="1"/>
    <col min="12801" max="12801" width="128" customWidth="1"/>
    <col min="12802" max="12802" width="13.7109375" customWidth="1"/>
    <col min="13057" max="13057" width="128" customWidth="1"/>
    <col min="13058" max="13058" width="13.7109375" customWidth="1"/>
    <col min="13313" max="13313" width="128" customWidth="1"/>
    <col min="13314" max="13314" width="13.7109375" customWidth="1"/>
    <col min="13569" max="13569" width="128" customWidth="1"/>
    <col min="13570" max="13570" width="13.7109375" customWidth="1"/>
    <col min="13825" max="13825" width="128" customWidth="1"/>
    <col min="13826" max="13826" width="13.7109375" customWidth="1"/>
    <col min="14081" max="14081" width="128" customWidth="1"/>
    <col min="14082" max="14082" width="13.7109375" customWidth="1"/>
    <col min="14337" max="14337" width="128" customWidth="1"/>
    <col min="14338" max="14338" width="13.7109375" customWidth="1"/>
    <col min="14593" max="14593" width="128" customWidth="1"/>
    <col min="14594" max="14594" width="13.7109375" customWidth="1"/>
    <col min="14849" max="14849" width="128" customWidth="1"/>
    <col min="14850" max="14850" width="13.7109375" customWidth="1"/>
    <col min="15105" max="15105" width="128" customWidth="1"/>
    <col min="15106" max="15106" width="13.7109375" customWidth="1"/>
    <col min="15361" max="15361" width="128" customWidth="1"/>
    <col min="15362" max="15362" width="13.7109375" customWidth="1"/>
    <col min="15617" max="15617" width="128" customWidth="1"/>
    <col min="15618" max="15618" width="13.7109375" customWidth="1"/>
    <col min="15873" max="15873" width="128" customWidth="1"/>
    <col min="15874" max="15874" width="13.7109375" customWidth="1"/>
    <col min="16129" max="16129" width="128" customWidth="1"/>
    <col min="16130" max="16130" width="13.7109375" customWidth="1"/>
  </cols>
  <sheetData>
    <row r="1" spans="1:1" ht="63.75">
      <c r="A1" s="24" t="s">
        <v>176</v>
      </c>
    </row>
    <row r="2" spans="1:1">
      <c r="A2" s="9"/>
    </row>
    <row r="3" spans="1:1" ht="76.5">
      <c r="A3" s="24" t="s">
        <v>177</v>
      </c>
    </row>
    <row r="4" spans="1:1">
      <c r="A4" s="9"/>
    </row>
    <row r="5" spans="1:1" ht="51">
      <c r="A5" s="24" t="s">
        <v>178</v>
      </c>
    </row>
    <row r="6" spans="1:1">
      <c r="A6" s="9"/>
    </row>
    <row r="7" spans="1:1" ht="76.5">
      <c r="A7" s="24" t="s">
        <v>179</v>
      </c>
    </row>
    <row r="8" spans="1:1">
      <c r="A8" s="9"/>
    </row>
    <row r="9" spans="1:1">
      <c r="A9" s="24" t="s">
        <v>222</v>
      </c>
    </row>
  </sheetData>
  <customSheetViews>
    <customSheetView guid="{0F8159A6-236F-4F54-A569-A835A6AD5DA8}">
      <selection activeCell="A10" sqref="A10"/>
      <pageMargins left="0.7" right="0.7" top="0.75" bottom="0.75" header="0.3" footer="0.3"/>
      <pageSetup paperSize="9" orientation="portrait" horizontalDpi="300" verticalDpi="300" r:id="rId1"/>
    </customSheetView>
  </customSheetViews>
  <pageMargins left="0.7" right="0.7" top="0.75" bottom="0.75" header="0.3" footer="0.3"/>
  <pageSetup paperSize="9"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44"/>
  <sheetViews>
    <sheetView zoomScale="85" zoomScaleNormal="85" workbookViewId="0">
      <selection activeCell="Y45" sqref="Y45"/>
    </sheetView>
  </sheetViews>
  <sheetFormatPr baseColWidth="10" defaultColWidth="9.140625" defaultRowHeight="12.75"/>
  <cols>
    <col min="1" max="1" width="4" bestFit="1" customWidth="1"/>
    <col min="2" max="2" width="9.7109375" customWidth="1"/>
    <col min="3" max="3" width="10.5703125" bestFit="1" customWidth="1"/>
    <col min="5" max="5" width="8" customWidth="1"/>
    <col min="7" max="7" width="7.85546875" customWidth="1"/>
    <col min="8" max="9" width="8.28515625" customWidth="1"/>
    <col min="10" max="10" width="9.42578125" customWidth="1"/>
    <col min="11" max="11" width="9.5703125" customWidth="1"/>
    <col min="13" max="14" width="8.42578125" customWidth="1"/>
    <col min="15" max="16" width="9.5703125" customWidth="1"/>
    <col min="17" max="17" width="10" customWidth="1"/>
    <col min="18" max="18" width="10.7109375" customWidth="1"/>
    <col min="19" max="20" width="9.42578125" customWidth="1"/>
    <col min="21" max="23" width="10" customWidth="1"/>
    <col min="24" max="24" width="10.140625" customWidth="1"/>
    <col min="25" max="26" width="10" customWidth="1"/>
    <col min="27" max="30" width="10.28515625" customWidth="1"/>
    <col min="32" max="32" width="15.7109375" customWidth="1"/>
    <col min="33" max="33" width="12.28515625" bestFit="1" customWidth="1"/>
    <col min="34" max="34" width="5.5703125" customWidth="1"/>
  </cols>
  <sheetData>
    <row r="1" spans="1:34" ht="14.25" thickTop="1" thickBot="1">
      <c r="A1" s="165" t="s">
        <v>139</v>
      </c>
      <c r="B1" s="167"/>
      <c r="C1" s="165" t="s">
        <v>129</v>
      </c>
      <c r="D1" s="166"/>
      <c r="E1" s="166"/>
      <c r="F1" s="166"/>
      <c r="G1" s="166"/>
      <c r="H1" s="166"/>
      <c r="I1" s="166"/>
      <c r="J1" s="167"/>
      <c r="K1" s="165" t="s">
        <v>157</v>
      </c>
      <c r="L1" s="166"/>
      <c r="M1" s="166"/>
      <c r="N1" s="166"/>
      <c r="O1" s="166"/>
      <c r="P1" s="166"/>
      <c r="Q1" s="165" t="s">
        <v>156</v>
      </c>
      <c r="R1" s="167"/>
      <c r="S1" s="165" t="s">
        <v>130</v>
      </c>
      <c r="T1" s="166"/>
      <c r="U1" s="166"/>
      <c r="V1" s="166"/>
      <c r="W1" s="166"/>
      <c r="X1" s="167"/>
      <c r="Y1" s="165" t="s">
        <v>155</v>
      </c>
      <c r="Z1" s="167"/>
      <c r="AA1" s="166" t="s">
        <v>133</v>
      </c>
      <c r="AB1" s="166"/>
      <c r="AC1" s="166"/>
      <c r="AD1" s="167"/>
    </row>
    <row r="2" spans="1:34" ht="26.25" thickTop="1">
      <c r="A2" s="1"/>
      <c r="B2" s="2" t="s">
        <v>134</v>
      </c>
      <c r="C2" s="11" t="s">
        <v>100</v>
      </c>
      <c r="D2" s="2" t="s">
        <v>101</v>
      </c>
      <c r="E2" s="2" t="s">
        <v>102</v>
      </c>
      <c r="F2" s="2" t="s">
        <v>103</v>
      </c>
      <c r="G2" s="2" t="s">
        <v>104</v>
      </c>
      <c r="H2" s="2" t="s">
        <v>105</v>
      </c>
      <c r="I2" s="2" t="s">
        <v>112</v>
      </c>
      <c r="J2" s="14" t="s">
        <v>113</v>
      </c>
      <c r="K2" s="11" t="s">
        <v>106</v>
      </c>
      <c r="L2" s="2" t="s">
        <v>107</v>
      </c>
      <c r="M2" s="2" t="s">
        <v>98</v>
      </c>
      <c r="N2" s="2" t="s">
        <v>99</v>
      </c>
      <c r="O2" s="2" t="s">
        <v>108</v>
      </c>
      <c r="P2" s="14" t="s">
        <v>109</v>
      </c>
      <c r="Q2" s="2" t="s">
        <v>153</v>
      </c>
      <c r="R2" s="2" t="s">
        <v>154</v>
      </c>
      <c r="S2" s="11" t="s">
        <v>131</v>
      </c>
      <c r="T2" s="2" t="s">
        <v>132</v>
      </c>
      <c r="U2" s="2" t="s">
        <v>123</v>
      </c>
      <c r="V2" s="14" t="s">
        <v>122</v>
      </c>
      <c r="W2" s="11" t="s">
        <v>173</v>
      </c>
      <c r="X2" s="14" t="s">
        <v>172</v>
      </c>
      <c r="Y2" s="11" t="s">
        <v>151</v>
      </c>
      <c r="Z2" s="14" t="s">
        <v>152</v>
      </c>
      <c r="AA2" s="2" t="s">
        <v>136</v>
      </c>
      <c r="AB2" s="2" t="s">
        <v>137</v>
      </c>
      <c r="AC2" s="2" t="s">
        <v>135</v>
      </c>
      <c r="AD2" s="3" t="s">
        <v>138</v>
      </c>
      <c r="AF2" s="9" t="s">
        <v>144</v>
      </c>
      <c r="AG2" s="21" t="s">
        <v>24</v>
      </c>
      <c r="AH2" s="21" t="s">
        <v>175</v>
      </c>
    </row>
    <row r="3" spans="1:34">
      <c r="A3" s="4">
        <v>1</v>
      </c>
      <c r="B3" s="18">
        <f>10*10^A3</f>
        <v>100</v>
      </c>
      <c r="C3" s="12">
        <f t="shared" ref="C3:C43" si="0">20*LOG(SQRT((B3/fzRHP)^2+1))</f>
        <v>8.7532800830178228E-6</v>
      </c>
      <c r="D3" s="5">
        <f t="shared" ref="D3:D43" si="1">-180/PI()*ATAN(B3/fzRHP)</f>
        <v>-8.1342181657139134E-2</v>
      </c>
      <c r="E3" s="5">
        <f t="shared" ref="E3:E43" si="2">20*LOG(1/SQRT((B3/fp)^2+1))</f>
        <v>-2.0704832445653274</v>
      </c>
      <c r="F3" s="5">
        <f t="shared" ref="F3:F43" si="3">-180/PI()*ATAN(B3/fp)</f>
        <v>-38.009506304844848</v>
      </c>
      <c r="G3" s="5">
        <f t="shared" ref="G3:G43" si="4">20*LOG(SQRT((B3/fz_ESR)^2+1))</f>
        <v>1.0972827088471135E-4</v>
      </c>
      <c r="H3" s="5">
        <f t="shared" ref="H3:H43" si="5">180/PI()*ATAN(B3/fz_ESR)</f>
        <v>0.28799757448279245</v>
      </c>
      <c r="I3" s="5">
        <f t="shared" ref="I3:I43" si="6">20*LOG(1/SQRT((B3/(1/2/PI()/ESR/(Cout_c*Cout_e/(Cout_c+Cout_e))))^2+1))</f>
        <v>-8.1405519299187902E-8</v>
      </c>
      <c r="J3" s="15">
        <f t="shared" ref="J3:J43" si="7">-180/PI()*ATAN(B3/(1/2/PI()/(ESR)/(Cout_c*Cout_e/(Cout_c+Cout_e))))</f>
        <v>-7.8443579276413281E-3</v>
      </c>
      <c r="K3" s="12">
        <f t="shared" ref="K3:K43" si="8">20*LOG(1/SQRT((B3/(1/2/PI()/10000000/(Ccomp+Cp+0.000000000003)))^2+1))</f>
        <v>-10.219123718077025</v>
      </c>
      <c r="L3" s="5">
        <f t="shared" ref="L3:L43" si="9">-180/PI()*ATAN(B3/(1/2/PI()/10000000/(Ccomp+Cp+0.000000000003)))</f>
        <v>-72.040183997061405</v>
      </c>
      <c r="M3" s="5">
        <f t="shared" ref="M3:M43" si="10">20*LOG(SQRT((B3/fz_comp)^2+1))</f>
        <v>8.963303917229154E-2</v>
      </c>
      <c r="N3" s="5">
        <f t="shared" ref="N3:N43" si="11">180/PI()*ATAN(B3/fz_comp)</f>
        <v>8.2170766905361319</v>
      </c>
      <c r="O3" s="5">
        <f t="shared" ref="O3:O43" si="12">20*LOG(1/SQRT((B3/fp_comp2)^2+1))</f>
        <v>-1.6566272628437844E-4</v>
      </c>
      <c r="P3" s="15">
        <f t="shared" ref="P3:P43" si="13">-180/PI()*ATAN(B3/fp_comp2)</f>
        <v>-0.35386816852085695</v>
      </c>
      <c r="Q3" s="5">
        <f>20*LOG(1/SQRT((B3/(1/2/PI()/400000/0.0000000000055))^2+1))</f>
        <v>-8.2982973903629366E-6</v>
      </c>
      <c r="R3" s="5">
        <f>-180/PI()*ATAN(B3/(1/2/PI()/400000/0.0000000000055))</f>
        <v>-7.9199949556114951E-2</v>
      </c>
      <c r="S3" s="12">
        <f t="shared" ref="S3:S43" si="14">20*LOG(SQRT((2*PI()*R_ca*C_ca*B3)^2+1))</f>
        <v>6.7187635127814618E-5</v>
      </c>
      <c r="T3" s="5">
        <f t="shared" ref="T3:T43" si="15">180/PI()*ATAN(2*PI()*R_ca*C_ca*B3)</f>
        <v>0.22535883785598179</v>
      </c>
      <c r="U3" s="5">
        <f t="shared" ref="U3:U43" si="16">20*LOG(1/SQRT((2*PI()*B3*R_ca*C_ca)^2+(1-(2*PI()*B3)^2*C_ca/gm_ca/(IF(Op_mode="Boost", Vout_LP, Vin_LP)/V_m/L)*gm_PS)^2))</f>
        <v>-3.0110727853630131E-5</v>
      </c>
      <c r="V3" s="15">
        <f t="shared" ref="V3:V43" si="17">IF(-180/PI()*ATAN((2*PI()*B3*R_ca*C_ca)/(1-(2*PI()*B3)^2*C_ca/gm_ca/(IF(Op_mode="Boost", Vout_LP, Vin_LP)/V_m/L)*gm_PS))&gt;0, -180/PI()*ATAN((2*PI()*B3*R_ca*C_ca)/(1-(2*PI()*B3)^2*C_ca/gm_ca/(IF(Op_mode="Boost", Vout_LP, Vin_LP)/V_m/L)*gm_PS))-180, -180/PI()*ATAN((2*PI()*B3*R_ca*C_ca)/(1-(2*PI()*B3)^2*C_ca/gm_ca/(IF(Op_mode="Boost", Vout_LP, Vin_LP)/V_m/L)*gm_PS)))</f>
        <v>-0.22535979983800161</v>
      </c>
      <c r="W3" s="12">
        <v>0</v>
      </c>
      <c r="X3" s="15">
        <f t="shared" ref="X3:X43" si="18">IF(B3&lt;fsw, -180*B3*1/2/fsw, -90)</f>
        <v>-1.5280135823429542E-2</v>
      </c>
      <c r="Y3" s="12">
        <f>20*LOG(1/SQRT((B3/(1/2/PI()/30000/0.000000000005))^2+1))</f>
        <v>-3.8576832623748043E-8</v>
      </c>
      <c r="Z3" s="15">
        <f>-180/PI()*ATAN(B3/(1/2/PI()/30000/0.000000000005))</f>
        <v>-5.3999999840112396E-3</v>
      </c>
      <c r="AA3" s="5">
        <f t="shared" ref="AA3:AA43" si="19">IF(Op_mode="Boost", C3+E3+G3+I3+K3+M3+20*LOG(Vout_LP/Ioutmax/2*gm_PS*eff*Vin_LP/Vout_LP*gm_EA*10000000*1.129/Vout)+Q3+S3+U3+Y3, E3+G3+I3+K3+M3+20*LOG(Vout_LP/Ioutmax*gm_PS*gm_EA*10000000*1.129/Vout)+Q3+S3+U3+Y3)</f>
        <v>57.811045758985927</v>
      </c>
      <c r="AB3" s="5">
        <f t="shared" ref="AB3:AB43" si="20">IF(Op_mode="Boost", D3+F3+H3+J3+180+L3+N3+R3+T3+V3+X3+Z3, F3+H3+J3+180+L3+N3+R3+T3+V3+Z3)</f>
        <v>78.266316376182303</v>
      </c>
      <c r="AC3" s="5">
        <f>AA3+O3</f>
        <v>57.810880096259645</v>
      </c>
      <c r="AD3" s="6">
        <f>AB3+P3</f>
        <v>77.912448207661441</v>
      </c>
      <c r="AF3" t="s">
        <v>142</v>
      </c>
      <c r="AG3">
        <v>3.0000000000000001E-5</v>
      </c>
      <c r="AH3" t="s">
        <v>124</v>
      </c>
    </row>
    <row r="4" spans="1:34">
      <c r="A4" s="4">
        <v>1.1000000000000001</v>
      </c>
      <c r="B4" s="19">
        <f t="shared" ref="B4:B43" si="21">10*10^A4</f>
        <v>125.8925411794168</v>
      </c>
      <c r="C4" s="12">
        <f t="shared" si="0"/>
        <v>1.3873005837169944E-5</v>
      </c>
      <c r="D4" s="5">
        <f t="shared" si="1"/>
        <v>-0.10240369929903867</v>
      </c>
      <c r="E4" s="5">
        <f t="shared" si="2"/>
        <v>-2.94045433093277</v>
      </c>
      <c r="F4" s="5">
        <f t="shared" si="3"/>
        <v>-44.535523734378614</v>
      </c>
      <c r="G4" s="5">
        <f t="shared" si="4"/>
        <v>1.7390630458172734E-4</v>
      </c>
      <c r="H4" s="5">
        <f t="shared" si="5"/>
        <v>0.36256567909655174</v>
      </c>
      <c r="I4" s="5">
        <f t="shared" si="6"/>
        <v>-1.2901905256682696E-7</v>
      </c>
      <c r="J4" s="15">
        <f t="shared" si="7"/>
        <v>-9.8754614982270884E-3</v>
      </c>
      <c r="K4" s="12">
        <f t="shared" si="8"/>
        <v>-12.063998763580958</v>
      </c>
      <c r="L4" s="5">
        <f t="shared" si="9"/>
        <v>-75.561264397023933</v>
      </c>
      <c r="M4" s="5">
        <f t="shared" si="10"/>
        <v>0.1412139665297098</v>
      </c>
      <c r="N4" s="5">
        <f t="shared" si="11"/>
        <v>10.303668727041277</v>
      </c>
      <c r="O4" s="5">
        <f t="shared" si="12"/>
        <v>-2.6255479826303528E-4</v>
      </c>
      <c r="P4" s="15">
        <f t="shared" si="13"/>
        <v>-0.44549031674561052</v>
      </c>
      <c r="Q4" s="5">
        <f t="shared" ref="Q4:Q43" si="22">20*LOG(1/SQRT((B4/(1/2/PI()/400000/0.0000000000055))^2+1))</f>
        <v>-1.3151907691514025E-5</v>
      </c>
      <c r="R4" s="5">
        <f t="shared" ref="R4:R43" si="23">-180/PI()*ATAN(B4/(1/2/PI()/400000/0.0000000000055))</f>
        <v>-9.9706791965382735E-2</v>
      </c>
      <c r="S4" s="12">
        <f t="shared" si="14"/>
        <v>1.0648474376647131E-4</v>
      </c>
      <c r="T4" s="5">
        <f t="shared" si="15"/>
        <v>0.2837091120323586</v>
      </c>
      <c r="U4" s="5">
        <f t="shared" si="16"/>
        <v>-4.7722264192219623E-5</v>
      </c>
      <c r="V4" s="15">
        <f t="shared" si="17"/>
        <v>-0.28371103142625459</v>
      </c>
      <c r="W4" s="12">
        <v>0</v>
      </c>
      <c r="X4" s="15">
        <f t="shared" si="18"/>
        <v>-1.9236551283781853E-2</v>
      </c>
      <c r="Y4" s="12">
        <f t="shared" ref="Y4:Y43" si="24">20*LOG(1/SQRT((B4/(1/2/PI()/30000/0.000000000005))^2+1))</f>
        <v>-6.1140159101059486E-8</v>
      </c>
      <c r="Z4" s="15">
        <f t="shared" ref="Z4:Z43" si="25">-180/PI()*ATAN(B4/(1/2/PI()/30000/0.000000000005))</f>
        <v>-6.7981971917867381E-3</v>
      </c>
      <c r="AA4" s="5">
        <f t="shared" si="19"/>
        <v>55.147866614016571</v>
      </c>
      <c r="AB4" s="5">
        <f t="shared" si="20"/>
        <v>70.331423654103148</v>
      </c>
      <c r="AC4" s="5">
        <f t="shared" ref="AC4:AC43" si="26">AA4+O4</f>
        <v>55.14760405921831</v>
      </c>
      <c r="AD4" s="6">
        <f t="shared" ref="AD4:AD43" si="27">AB4+P4</f>
        <v>69.885933337357542</v>
      </c>
      <c r="AF4" t="s">
        <v>140</v>
      </c>
      <c r="AG4">
        <v>100000</v>
      </c>
      <c r="AH4" s="10" t="s">
        <v>49</v>
      </c>
    </row>
    <row r="5" spans="1:34">
      <c r="A5" s="4">
        <v>1.2</v>
      </c>
      <c r="B5" s="19">
        <f t="shared" si="21"/>
        <v>158.48931924611136</v>
      </c>
      <c r="C5" s="12">
        <f t="shared" si="0"/>
        <v>2.198721197118306E-5</v>
      </c>
      <c r="D5" s="5">
        <f t="shared" si="1"/>
        <v>-0.12891853902025666</v>
      </c>
      <c r="E5" s="5">
        <f t="shared" si="2"/>
        <v>-4.0386191133565577</v>
      </c>
      <c r="F5" s="5">
        <f t="shared" si="3"/>
        <v>-51.085630625564498</v>
      </c>
      <c r="G5" s="5">
        <f t="shared" si="4"/>
        <v>2.7561969065165967E-4</v>
      </c>
      <c r="H5" s="5">
        <f t="shared" si="5"/>
        <v>0.45643958349218056</v>
      </c>
      <c r="I5" s="5">
        <f t="shared" si="6"/>
        <v>-2.0448141697092315E-7</v>
      </c>
      <c r="J5" s="15">
        <f t="shared" si="7"/>
        <v>-1.2432469361304727E-2</v>
      </c>
      <c r="K5" s="12">
        <f t="shared" si="8"/>
        <v>-13.963191549491743</v>
      </c>
      <c r="L5" s="5">
        <f t="shared" si="9"/>
        <v>-78.441195128868642</v>
      </c>
      <c r="M5" s="5">
        <f t="shared" si="10"/>
        <v>0.22172968021405018</v>
      </c>
      <c r="N5" s="5">
        <f t="shared" si="11"/>
        <v>12.891192478578278</v>
      </c>
      <c r="O5" s="5">
        <f t="shared" si="12"/>
        <v>-4.1611395571453401E-4</v>
      </c>
      <c r="P5" s="15">
        <f t="shared" si="13"/>
        <v>-0.56083247032338424</v>
      </c>
      <c r="Q5" s="5">
        <f t="shared" si="22"/>
        <v>-2.0844350508270566E-5</v>
      </c>
      <c r="R5" s="5">
        <f t="shared" si="23"/>
        <v>-0.12552334002254481</v>
      </c>
      <c r="S5" s="12">
        <f t="shared" si="14"/>
        <v>1.6876573537434375E-4</v>
      </c>
      <c r="T5" s="5">
        <f t="shared" si="15"/>
        <v>0.35716690333929518</v>
      </c>
      <c r="U5" s="5">
        <f t="shared" si="16"/>
        <v>-7.5634632859295298E-5</v>
      </c>
      <c r="V5" s="15">
        <f t="shared" si="17"/>
        <v>-0.35717073299383667</v>
      </c>
      <c r="W5" s="12">
        <v>0</v>
      </c>
      <c r="X5" s="15">
        <f t="shared" si="18"/>
        <v>-2.4217383246434673E-2</v>
      </c>
      <c r="Y5" s="12">
        <f t="shared" si="24"/>
        <v>-9.6900620560394827E-8</v>
      </c>
      <c r="Z5" s="15">
        <f t="shared" si="25"/>
        <v>-8.5584231756376181E-3</v>
      </c>
      <c r="AA5" s="5">
        <f t="shared" si="19"/>
        <v>52.231161151915835</v>
      </c>
      <c r="AB5" s="5">
        <f t="shared" si="20"/>
        <v>63.521152323156592</v>
      </c>
      <c r="AC5" s="5">
        <f t="shared" si="26"/>
        <v>52.230745037960119</v>
      </c>
      <c r="AD5" s="6">
        <f t="shared" si="27"/>
        <v>62.960319852833209</v>
      </c>
      <c r="AF5" t="s">
        <v>141</v>
      </c>
      <c r="AG5">
        <v>6.2599999999999996E-11</v>
      </c>
      <c r="AH5" t="s">
        <v>9</v>
      </c>
    </row>
    <row r="6" spans="1:34">
      <c r="A6" s="4">
        <v>1.3</v>
      </c>
      <c r="B6" s="19">
        <f t="shared" si="21"/>
        <v>199.52623149688804</v>
      </c>
      <c r="C6" s="12">
        <f t="shared" si="0"/>
        <v>3.4847330980662555E-5</v>
      </c>
      <c r="D6" s="5">
        <f t="shared" si="1"/>
        <v>-0.16229866462676421</v>
      </c>
      <c r="E6" s="5">
        <f t="shared" si="2"/>
        <v>-5.3551407075784514</v>
      </c>
      <c r="F6" s="5">
        <f t="shared" si="3"/>
        <v>-57.329121836403438</v>
      </c>
      <c r="G6" s="5">
        <f t="shared" si="4"/>
        <v>4.3681966437470371E-4</v>
      </c>
      <c r="H6" s="5">
        <f t="shared" si="5"/>
        <v>0.57461628101365314</v>
      </c>
      <c r="I6" s="5">
        <f t="shared" si="6"/>
        <v>-3.2408119925155596E-7</v>
      </c>
      <c r="J6" s="15">
        <f t="shared" si="7"/>
        <v>-1.565155146662359E-2</v>
      </c>
      <c r="K6" s="12">
        <f t="shared" si="8"/>
        <v>-15.898361072871106</v>
      </c>
      <c r="L6" s="5">
        <f t="shared" si="9"/>
        <v>-80.772509713536053</v>
      </c>
      <c r="M6" s="5">
        <f t="shared" si="10"/>
        <v>0.34635744076621322</v>
      </c>
      <c r="N6" s="5">
        <f t="shared" si="11"/>
        <v>16.073211792494796</v>
      </c>
      <c r="O6" s="5">
        <f t="shared" si="12"/>
        <v>-6.5947769762324325E-4</v>
      </c>
      <c r="P6" s="15">
        <f t="shared" si="13"/>
        <v>-0.70603306041758152</v>
      </c>
      <c r="Q6" s="5">
        <f t="shared" si="22"/>
        <v>-3.30360228520592E-5</v>
      </c>
      <c r="R6" s="5">
        <f t="shared" si="23"/>
        <v>-0.15802437465688313</v>
      </c>
      <c r="S6" s="12">
        <f t="shared" si="14"/>
        <v>2.6747262549834858E-4</v>
      </c>
      <c r="T6" s="5">
        <f t="shared" si="15"/>
        <v>0.44964308431875261</v>
      </c>
      <c r="U6" s="5">
        <f t="shared" si="16"/>
        <v>-1.1987266706220238E-4</v>
      </c>
      <c r="V6" s="15">
        <f t="shared" si="17"/>
        <v>-0.44965072535838779</v>
      </c>
      <c r="W6" s="12">
        <v>0</v>
      </c>
      <c r="X6" s="15">
        <f t="shared" si="18"/>
        <v>-3.0487879176094943E-2</v>
      </c>
      <c r="Y6" s="12">
        <f t="shared" si="24"/>
        <v>-1.535771340734222E-7</v>
      </c>
      <c r="Z6" s="15">
        <f t="shared" si="25"/>
        <v>-1.0774416373828727E-2</v>
      </c>
      <c r="AA6" s="5">
        <f t="shared" si="19"/>
        <v>49.104313955866758</v>
      </c>
      <c r="AB6" s="5">
        <f t="shared" si="20"/>
        <v>58.168951996229126</v>
      </c>
      <c r="AC6" s="5">
        <f t="shared" si="26"/>
        <v>49.103654478169133</v>
      </c>
      <c r="AD6" s="6">
        <f t="shared" si="27"/>
        <v>57.462918935811544</v>
      </c>
      <c r="AF6" t="s">
        <v>143</v>
      </c>
      <c r="AG6">
        <f>0.1*MIN(Vin, Vout)</f>
        <v>1</v>
      </c>
      <c r="AH6" t="s">
        <v>3</v>
      </c>
    </row>
    <row r="7" spans="1:34">
      <c r="A7" s="4">
        <v>1.4</v>
      </c>
      <c r="B7" s="19">
        <f t="shared" si="21"/>
        <v>251.188643150958</v>
      </c>
      <c r="C7" s="12">
        <f t="shared" si="0"/>
        <v>5.5229168047996054E-5</v>
      </c>
      <c r="D7" s="5">
        <f t="shared" si="1"/>
        <v>-0.2043215935648946</v>
      </c>
      <c r="E7" s="5">
        <f t="shared" si="2"/>
        <v>-6.8610373902286703</v>
      </c>
      <c r="F7" s="5">
        <f t="shared" si="3"/>
        <v>-63.006629340645311</v>
      </c>
      <c r="G7" s="5">
        <f t="shared" si="4"/>
        <v>6.9229214971470402E-4</v>
      </c>
      <c r="H7" s="5">
        <f t="shared" si="5"/>
        <v>0.7233848535115398</v>
      </c>
      <c r="I7" s="5">
        <f t="shared" si="6"/>
        <v>-5.1363407870566262E-7</v>
      </c>
      <c r="J7" s="15">
        <f t="shared" si="7"/>
        <v>-1.9704135588666717E-2</v>
      </c>
      <c r="K7" s="12">
        <f t="shared" si="8"/>
        <v>-17.856952184686566</v>
      </c>
      <c r="L7" s="5">
        <f t="shared" si="9"/>
        <v>-82.646945113204566</v>
      </c>
      <c r="M7" s="5">
        <f t="shared" si="10"/>
        <v>0.53683319810911634</v>
      </c>
      <c r="N7" s="5">
        <f t="shared" si="11"/>
        <v>19.937358780471353</v>
      </c>
      <c r="O7" s="5">
        <f t="shared" si="12"/>
        <v>-1.0451553031996792E-3</v>
      </c>
      <c r="P7" s="15">
        <f t="shared" si="13"/>
        <v>-0.88881664963128793</v>
      </c>
      <c r="Q7" s="5">
        <f t="shared" si="22"/>
        <v>-5.2358451248504887E-5</v>
      </c>
      <c r="R7" s="5">
        <f t="shared" si="23"/>
        <v>-0.19894060589872517</v>
      </c>
      <c r="S7" s="12">
        <f t="shared" si="14"/>
        <v>4.2390790845322254E-4</v>
      </c>
      <c r="T7" s="5">
        <f t="shared" si="15"/>
        <v>0.56606030837128074</v>
      </c>
      <c r="U7" s="5">
        <f t="shared" si="16"/>
        <v>-1.8998500305865987E-4</v>
      </c>
      <c r="V7" s="15">
        <f t="shared" si="17"/>
        <v>-0.5660755538520702</v>
      </c>
      <c r="W7" s="12">
        <v>0</v>
      </c>
      <c r="X7" s="15">
        <f t="shared" si="18"/>
        <v>-3.8381965846496127E-2</v>
      </c>
      <c r="Y7" s="12">
        <f t="shared" si="24"/>
        <v>-2.4340335245430343E-7</v>
      </c>
      <c r="Z7" s="15">
        <f t="shared" si="25"/>
        <v>-1.3564186476746985E-2</v>
      </c>
      <c r="AA7" s="5">
        <f t="shared" si="19"/>
        <v>45.830644494205856</v>
      </c>
      <c r="AB7" s="5">
        <f t="shared" si="20"/>
        <v>54.532241447276682</v>
      </c>
      <c r="AC7" s="5">
        <f t="shared" si="26"/>
        <v>45.829599338902653</v>
      </c>
      <c r="AD7" s="6">
        <f t="shared" si="27"/>
        <v>53.643424797645395</v>
      </c>
    </row>
    <row r="8" spans="1:34">
      <c r="A8" s="4">
        <v>1.5</v>
      </c>
      <c r="B8" s="19">
        <f t="shared" si="21"/>
        <v>316.22776601683802</v>
      </c>
      <c r="C8" s="12">
        <f t="shared" si="0"/>
        <v>8.7532006931108697E-5</v>
      </c>
      <c r="D8" s="5">
        <f t="shared" si="1"/>
        <v>-0.25722500856809694</v>
      </c>
      <c r="E8" s="5">
        <f t="shared" si="2"/>
        <v>-8.5176261036333401</v>
      </c>
      <c r="F8" s="5">
        <f t="shared" si="3"/>
        <v>-67.971020836422767</v>
      </c>
      <c r="G8" s="5">
        <f t="shared" si="4"/>
        <v>1.0971579717125792E-3</v>
      </c>
      <c r="H8" s="5">
        <f t="shared" si="5"/>
        <v>0.91065927500274257</v>
      </c>
      <c r="I8" s="5">
        <f t="shared" si="6"/>
        <v>-8.1405512414137035E-7</v>
      </c>
      <c r="J8" s="15">
        <f t="shared" si="7"/>
        <v>-2.4806036438028596E-2</v>
      </c>
      <c r="K8" s="12">
        <f t="shared" si="8"/>
        <v>-19.830620321652916</v>
      </c>
      <c r="L8" s="5">
        <f t="shared" si="9"/>
        <v>-84.147423299440021</v>
      </c>
      <c r="M8" s="5">
        <f t="shared" si="10"/>
        <v>0.82258234096288985</v>
      </c>
      <c r="N8" s="5">
        <f t="shared" si="11"/>
        <v>24.543965259716398</v>
      </c>
      <c r="O8" s="5">
        <f t="shared" si="12"/>
        <v>-1.6563429654304321E-3</v>
      </c>
      <c r="P8" s="15">
        <f t="shared" si="13"/>
        <v>-1.1189013751425489</v>
      </c>
      <c r="Q8" s="5">
        <f t="shared" si="22"/>
        <v>-8.298226038036435E-5</v>
      </c>
      <c r="R8" s="5">
        <f t="shared" si="23"/>
        <v>-0.2504507955260869</v>
      </c>
      <c r="S8" s="12">
        <f t="shared" si="14"/>
        <v>6.7182958160482906E-4</v>
      </c>
      <c r="T8" s="5">
        <f t="shared" si="15"/>
        <v>0.7126141463447041</v>
      </c>
      <c r="U8" s="5">
        <f t="shared" si="16"/>
        <v>-3.0110500626497912E-4</v>
      </c>
      <c r="V8" s="15">
        <f t="shared" si="17"/>
        <v>-0.7126445638206278</v>
      </c>
      <c r="W8" s="12">
        <v>0</v>
      </c>
      <c r="X8" s="15">
        <f t="shared" si="18"/>
        <v>-4.8320032158769816E-2</v>
      </c>
      <c r="Y8" s="12">
        <f t="shared" si="24"/>
        <v>-3.8576830887491155E-7</v>
      </c>
      <c r="Z8" s="15">
        <f t="shared" si="25"/>
        <v>-1.7076298859300319E-2</v>
      </c>
      <c r="AA8" s="5">
        <f t="shared" si="19"/>
        <v>42.486679690424296</v>
      </c>
      <c r="AB8" s="5">
        <f t="shared" si="20"/>
        <v>52.738271809830159</v>
      </c>
      <c r="AC8" s="5">
        <f t="shared" si="26"/>
        <v>42.485023347458863</v>
      </c>
      <c r="AD8" s="6">
        <f t="shared" si="27"/>
        <v>51.61937043468761</v>
      </c>
    </row>
    <row r="9" spans="1:34">
      <c r="A9" s="4">
        <v>1.6</v>
      </c>
      <c r="B9" s="19">
        <f t="shared" si="21"/>
        <v>398.10717055349755</v>
      </c>
      <c r="C9" s="12">
        <f t="shared" si="0"/>
        <v>1.3872806421445411E-4</v>
      </c>
      <c r="D9" s="5">
        <f t="shared" si="1"/>
        <v>-0.32382582737342569</v>
      </c>
      <c r="E9" s="5">
        <f t="shared" si="2"/>
        <v>-10.286087305559867</v>
      </c>
      <c r="F9" s="5">
        <f t="shared" si="3"/>
        <v>-72.18275722989307</v>
      </c>
      <c r="G9" s="5">
        <f t="shared" si="4"/>
        <v>1.7387497542280523E-3</v>
      </c>
      <c r="H9" s="5">
        <f t="shared" si="5"/>
        <v>1.1463956458445985</v>
      </c>
      <c r="I9" s="5">
        <f t="shared" si="6"/>
        <v>-1.2901903544322412E-6</v>
      </c>
      <c r="J9" s="15">
        <f t="shared" si="7"/>
        <v>-3.1228948496472758E-2</v>
      </c>
      <c r="K9" s="12">
        <f t="shared" si="8"/>
        <v>-21.813923514978892</v>
      </c>
      <c r="L9" s="5">
        <f t="shared" si="9"/>
        <v>-85.345164829034729</v>
      </c>
      <c r="M9" s="5">
        <f t="shared" si="10"/>
        <v>1.2401530291499983</v>
      </c>
      <c r="N9" s="5">
        <f t="shared" si="11"/>
        <v>29.894269471450187</v>
      </c>
      <c r="O9" s="5">
        <f t="shared" si="12"/>
        <v>-2.6248339766137608E-3</v>
      </c>
      <c r="P9" s="15">
        <f t="shared" si="13"/>
        <v>-1.4085086629939954</v>
      </c>
      <c r="Q9" s="5">
        <f t="shared" si="22"/>
        <v>-1.3151728467446024E-4</v>
      </c>
      <c r="R9" s="5">
        <f t="shared" si="23"/>
        <v>-0.31529769633857607</v>
      </c>
      <c r="S9" s="12">
        <f t="shared" si="14"/>
        <v>1.0647299653402055E-3</v>
      </c>
      <c r="T9" s="5">
        <f t="shared" si="15"/>
        <v>0.89710100333404108</v>
      </c>
      <c r="U9" s="5">
        <f t="shared" si="16"/>
        <v>-4.7721693412783989E-4</v>
      </c>
      <c r="V9" s="15">
        <f t="shared" si="17"/>
        <v>-0.89716169020174363</v>
      </c>
      <c r="W9" s="12">
        <v>0</v>
      </c>
      <c r="X9" s="15">
        <f t="shared" si="18"/>
        <v>-6.0831316383386728E-2</v>
      </c>
      <c r="Y9" s="12">
        <f t="shared" si="24"/>
        <v>-6.1140154962446974E-7</v>
      </c>
      <c r="Z9" s="15">
        <f t="shared" si="25"/>
        <v>-2.149778620106645E-2</v>
      </c>
      <c r="AA9" s="5">
        <f t="shared" si="19"/>
        <v>39.153346322861815</v>
      </c>
      <c r="AB9" s="5">
        <f t="shared" si="20"/>
        <v>52.76000079670635</v>
      </c>
      <c r="AC9" s="5">
        <f t="shared" si="26"/>
        <v>39.150721488885203</v>
      </c>
      <c r="AD9" s="6">
        <f t="shared" si="27"/>
        <v>51.351492133712355</v>
      </c>
    </row>
    <row r="10" spans="1:34">
      <c r="A10" s="4">
        <v>1.7</v>
      </c>
      <c r="B10" s="19">
        <f t="shared" si="21"/>
        <v>501.18723362727235</v>
      </c>
      <c r="C10" s="12">
        <f t="shared" si="0"/>
        <v>2.19867110670893E-4</v>
      </c>
      <c r="D10" s="5">
        <f t="shared" si="1"/>
        <v>-0.4076700242267699</v>
      </c>
      <c r="E10" s="5">
        <f t="shared" si="2"/>
        <v>-12.133378094079667</v>
      </c>
      <c r="F10" s="5">
        <f t="shared" si="3"/>
        <v>-75.678599932858347</v>
      </c>
      <c r="G10" s="5">
        <f t="shared" si="4"/>
        <v>2.7554100887383459E-3</v>
      </c>
      <c r="H10" s="5">
        <f t="shared" si="5"/>
        <v>1.4431139899190135</v>
      </c>
      <c r="I10" s="5">
        <f t="shared" si="6"/>
        <v>-2.0448137334830799E-6</v>
      </c>
      <c r="J10" s="15">
        <f t="shared" si="7"/>
        <v>-3.9314914568721E-2</v>
      </c>
      <c r="K10" s="12">
        <f t="shared" si="8"/>
        <v>-23.803355417166635</v>
      </c>
      <c r="L10" s="5">
        <f t="shared" si="9"/>
        <v>-86.299530489955131</v>
      </c>
      <c r="M10" s="5">
        <f t="shared" si="10"/>
        <v>1.829306081021429</v>
      </c>
      <c r="N10" s="5">
        <f t="shared" si="11"/>
        <v>35.895014688060407</v>
      </c>
      <c r="O10" s="5">
        <f t="shared" si="12"/>
        <v>-4.1593465198309755E-3</v>
      </c>
      <c r="P10" s="15">
        <f t="shared" si="13"/>
        <v>-1.7729984939747865</v>
      </c>
      <c r="Q10" s="5">
        <f t="shared" si="22"/>
        <v>-2.0843900322962698E-4</v>
      </c>
      <c r="R10" s="5">
        <f t="shared" si="23"/>
        <v>-0.39693393869951704</v>
      </c>
      <c r="S10" s="12">
        <f t="shared" si="14"/>
        <v>1.687362307627383E-3</v>
      </c>
      <c r="T10" s="5">
        <f t="shared" si="15"/>
        <v>1.1293292771845249</v>
      </c>
      <c r="U10" s="5">
        <f t="shared" si="16"/>
        <v>-7.5633199087990195E-4</v>
      </c>
      <c r="V10" s="15">
        <f t="shared" si="17"/>
        <v>-1.1294503508344484</v>
      </c>
      <c r="W10" s="12">
        <v>0</v>
      </c>
      <c r="X10" s="15">
        <f t="shared" si="18"/>
        <v>-7.6582090027936353E-2</v>
      </c>
      <c r="Y10" s="12">
        <f t="shared" si="24"/>
        <v>-9.6900611538725013E-7</v>
      </c>
      <c r="Z10" s="15">
        <f t="shared" si="25"/>
        <v>-2.7064108603007456E-2</v>
      </c>
      <c r="AA10" s="5">
        <f t="shared" si="19"/>
        <v>35.907139966745703</v>
      </c>
      <c r="AB10" s="5">
        <f t="shared" si="20"/>
        <v>54.412312105390065</v>
      </c>
      <c r="AC10" s="5">
        <f t="shared" si="26"/>
        <v>35.902980620225875</v>
      </c>
      <c r="AD10" s="6">
        <f t="shared" si="27"/>
        <v>52.639313611415275</v>
      </c>
    </row>
    <row r="11" spans="1:34">
      <c r="A11" s="4">
        <v>1.8</v>
      </c>
      <c r="B11" s="19">
        <f t="shared" si="21"/>
        <v>630.95734448019368</v>
      </c>
      <c r="C11" s="12">
        <f t="shared" si="0"/>
        <v>3.4846072793121355E-4</v>
      </c>
      <c r="D11" s="5">
        <f t="shared" si="1"/>
        <v>-0.51322108760305718</v>
      </c>
      <c r="E11" s="5">
        <f t="shared" si="2"/>
        <v>-14.034186883744201</v>
      </c>
      <c r="F11" s="5">
        <f t="shared" si="3"/>
        <v>-78.536568993105405</v>
      </c>
      <c r="G11" s="5">
        <f t="shared" si="4"/>
        <v>4.3662207844141331E-3</v>
      </c>
      <c r="H11" s="5">
        <f t="shared" si="5"/>
        <v>1.8165482479334565</v>
      </c>
      <c r="I11" s="5">
        <f t="shared" si="6"/>
        <v>-3.2408109185076175E-6</v>
      </c>
      <c r="J11" s="15">
        <f t="shared" si="7"/>
        <v>-4.949454046966948E-2</v>
      </c>
      <c r="K11" s="12">
        <f t="shared" si="8"/>
        <v>-25.796674142019288</v>
      </c>
      <c r="L11" s="5">
        <f t="shared" si="9"/>
        <v>-87.059104177355721</v>
      </c>
      <c r="M11" s="5">
        <f t="shared" si="10"/>
        <v>2.6249421532673693</v>
      </c>
      <c r="N11" s="5">
        <f t="shared" si="11"/>
        <v>42.338000352278826</v>
      </c>
      <c r="O11" s="5">
        <f t="shared" si="12"/>
        <v>-6.5902749190281306E-3</v>
      </c>
      <c r="P11" s="15">
        <f t="shared" si="13"/>
        <v>-2.2316563676759946</v>
      </c>
      <c r="Q11" s="5">
        <f t="shared" si="22"/>
        <v>-3.3034892060042185E-4</v>
      </c>
      <c r="R11" s="5">
        <f t="shared" si="23"/>
        <v>-0.49970554646103144</v>
      </c>
      <c r="S11" s="12">
        <f t="shared" si="14"/>
        <v>2.6739852561500342E-3</v>
      </c>
      <c r="T11" s="5">
        <f t="shared" si="15"/>
        <v>1.4216336592600793</v>
      </c>
      <c r="U11" s="5">
        <f t="shared" si="16"/>
        <v>-1.1986906544145645E-3</v>
      </c>
      <c r="V11" s="15">
        <f t="shared" si="17"/>
        <v>-1.4218751932112561</v>
      </c>
      <c r="W11" s="12">
        <v>0</v>
      </c>
      <c r="X11" s="15">
        <f t="shared" si="18"/>
        <v>-9.6411139224477804E-2</v>
      </c>
      <c r="Y11" s="12">
        <f t="shared" si="24"/>
        <v>-1.5357710945554844E-6</v>
      </c>
      <c r="Z11" s="15">
        <f t="shared" si="25"/>
        <v>-3.4071692585736599E-2</v>
      </c>
      <c r="AA11" s="5">
        <f t="shared" si="19"/>
        <v>32.810808520392847</v>
      </c>
      <c r="AB11" s="5">
        <f t="shared" si="20"/>
        <v>57.365729889456013</v>
      </c>
      <c r="AC11" s="5">
        <f t="shared" si="26"/>
        <v>32.80421824547382</v>
      </c>
      <c r="AD11" s="6">
        <f t="shared" si="27"/>
        <v>55.134073521780017</v>
      </c>
    </row>
    <row r="12" spans="1:34">
      <c r="A12" s="4">
        <v>1.9</v>
      </c>
      <c r="B12" s="19">
        <f t="shared" si="21"/>
        <v>794.32823472428197</v>
      </c>
      <c r="C12" s="12">
        <f t="shared" si="0"/>
        <v>5.5226007733814018E-4</v>
      </c>
      <c r="D12" s="5">
        <f t="shared" si="1"/>
        <v>-0.64609696246957149</v>
      </c>
      <c r="E12" s="5">
        <f t="shared" si="2"/>
        <v>-15.970415349647059</v>
      </c>
      <c r="F12" s="5">
        <f t="shared" si="3"/>
        <v>-80.849397863182389</v>
      </c>
      <c r="G12" s="5">
        <f t="shared" si="4"/>
        <v>6.9179605015682799E-3</v>
      </c>
      <c r="H12" s="5">
        <f t="shared" si="5"/>
        <v>2.2864508207870915</v>
      </c>
      <c r="I12" s="5">
        <f t="shared" si="6"/>
        <v>-5.1363380419652157E-6</v>
      </c>
      <c r="J12" s="15">
        <f t="shared" si="7"/>
        <v>-6.2309925677050543E-2</v>
      </c>
      <c r="K12" s="12">
        <f t="shared" si="8"/>
        <v>-27.79245324757602</v>
      </c>
      <c r="L12" s="5">
        <f t="shared" si="9"/>
        <v>-87.663206277559226</v>
      </c>
      <c r="M12" s="5">
        <f t="shared" si="10"/>
        <v>3.6469155462586151</v>
      </c>
      <c r="N12" s="5">
        <f t="shared" si="11"/>
        <v>48.918307378986619</v>
      </c>
      <c r="O12" s="5">
        <f t="shared" si="12"/>
        <v>-1.0440251728024232E-2</v>
      </c>
      <c r="P12" s="15">
        <f t="shared" si="13"/>
        <v>-2.808658622811159</v>
      </c>
      <c r="Q12" s="5">
        <f t="shared" si="22"/>
        <v>-5.2355610920028282E-4</v>
      </c>
      <c r="R12" s="5">
        <f t="shared" si="23"/>
        <v>-0.62908268187008598</v>
      </c>
      <c r="S12" s="12">
        <f t="shared" si="14"/>
        <v>4.2372182709462768E-3</v>
      </c>
      <c r="T12" s="5">
        <f t="shared" si="15"/>
        <v>1.7895159935178246</v>
      </c>
      <c r="U12" s="5">
        <f t="shared" si="16"/>
        <v>-1.8997595558769554E-3</v>
      </c>
      <c r="V12" s="15">
        <f t="shared" si="17"/>
        <v>-1.7899977914933671</v>
      </c>
      <c r="W12" s="12">
        <v>0</v>
      </c>
      <c r="X12" s="15">
        <f t="shared" si="18"/>
        <v>-0.1213744331497205</v>
      </c>
      <c r="Y12" s="12">
        <f t="shared" si="24"/>
        <v>-2.4340329028339434E-6</v>
      </c>
      <c r="Z12" s="15">
        <f t="shared" si="25"/>
        <v>-4.2893716661751957E-2</v>
      </c>
      <c r="AA12" s="5">
        <f t="shared" si="19"/>
        <v>29.904196044126863</v>
      </c>
      <c r="AB12" s="5">
        <f t="shared" si="20"/>
        <v>61.189914541228369</v>
      </c>
      <c r="AC12" s="5">
        <f t="shared" si="26"/>
        <v>29.893755792398839</v>
      </c>
      <c r="AD12" s="6">
        <f t="shared" si="27"/>
        <v>58.38125591841721</v>
      </c>
    </row>
    <row r="13" spans="1:34">
      <c r="A13" s="4">
        <v>2</v>
      </c>
      <c r="B13" s="18">
        <f t="shared" si="21"/>
        <v>1000</v>
      </c>
      <c r="C13" s="12">
        <f t="shared" si="0"/>
        <v>8.7524069014045509E-4</v>
      </c>
      <c r="D13" s="5">
        <f t="shared" si="1"/>
        <v>-0.81336772072019126</v>
      </c>
      <c r="E13" s="5">
        <f t="shared" si="2"/>
        <v>-17.92969101772934</v>
      </c>
      <c r="F13" s="5">
        <f t="shared" si="3"/>
        <v>-82.70859978979108</v>
      </c>
      <c r="G13" s="5">
        <f t="shared" si="4"/>
        <v>1.0959126763966853E-2</v>
      </c>
      <c r="H13" s="5">
        <f t="shared" si="5"/>
        <v>2.8775781164693535</v>
      </c>
      <c r="I13" s="5">
        <f t="shared" si="6"/>
        <v>-8.1405443814279314E-6</v>
      </c>
      <c r="J13" s="15">
        <f t="shared" si="7"/>
        <v>-7.8443530754223154E-2</v>
      </c>
      <c r="K13" s="12">
        <f t="shared" si="8"/>
        <v>-29.789787930926508</v>
      </c>
      <c r="L13" s="5">
        <f t="shared" si="9"/>
        <v>-88.143438939848267</v>
      </c>
      <c r="M13" s="5">
        <f t="shared" si="10"/>
        <v>4.8930052688931536</v>
      </c>
      <c r="N13" s="5">
        <f t="shared" si="11"/>
        <v>55.297791602156266</v>
      </c>
      <c r="O13" s="5">
        <f t="shared" si="12"/>
        <v>-1.6535071282119427E-2</v>
      </c>
      <c r="P13" s="15">
        <f t="shared" si="13"/>
        <v>-3.5342373442157373</v>
      </c>
      <c r="Q13" s="5">
        <f t="shared" si="22"/>
        <v>-8.2975126166051334E-4</v>
      </c>
      <c r="R13" s="5">
        <f t="shared" si="23"/>
        <v>-0.79194956183949483</v>
      </c>
      <c r="S13" s="12">
        <f t="shared" si="14"/>
        <v>6.71362361830117E-3</v>
      </c>
      <c r="T13" s="5">
        <f t="shared" si="15"/>
        <v>2.2524389227607688</v>
      </c>
      <c r="U13" s="5">
        <f t="shared" si="16"/>
        <v>-3.0108227762988514E-3</v>
      </c>
      <c r="V13" s="15">
        <f t="shared" si="17"/>
        <v>-2.2533998391426944</v>
      </c>
      <c r="W13" s="12">
        <v>0</v>
      </c>
      <c r="X13" s="15">
        <f t="shared" si="18"/>
        <v>-0.15280135823429541</v>
      </c>
      <c r="Y13" s="12">
        <f t="shared" si="24"/>
        <v>-3.8576815424639383E-6</v>
      </c>
      <c r="Z13" s="15">
        <f t="shared" si="25"/>
        <v>-5.3999984011249391E-2</v>
      </c>
      <c r="AA13" s="5">
        <f t="shared" si="19"/>
        <v>27.199094281323333</v>
      </c>
      <c r="AB13" s="5">
        <f t="shared" si="20"/>
        <v>65.431807917044878</v>
      </c>
      <c r="AC13" s="5">
        <f t="shared" si="26"/>
        <v>27.182559210041212</v>
      </c>
      <c r="AD13" s="6">
        <f t="shared" si="27"/>
        <v>61.897570572829139</v>
      </c>
    </row>
    <row r="14" spans="1:34">
      <c r="A14" s="4">
        <v>2.1</v>
      </c>
      <c r="B14" s="19">
        <f t="shared" si="21"/>
        <v>1258.9254117941678</v>
      </c>
      <c r="C14" s="12">
        <f t="shared" si="0"/>
        <v>1.3870812679318343E-3</v>
      </c>
      <c r="D14" s="5">
        <f t="shared" si="1"/>
        <v>-1.0239290652859756</v>
      </c>
      <c r="E14" s="5">
        <f t="shared" si="2"/>
        <v>-19.903797813716888</v>
      </c>
      <c r="F14" s="5">
        <f t="shared" si="3"/>
        <v>-84.196692696438646</v>
      </c>
      <c r="G14" s="5">
        <f t="shared" si="4"/>
        <v>1.7356250933063071E-2</v>
      </c>
      <c r="H14" s="5">
        <f t="shared" si="5"/>
        <v>3.6208771642831752</v>
      </c>
      <c r="I14" s="5">
        <f t="shared" si="6"/>
        <v>-1.2901886300149041E-5</v>
      </c>
      <c r="J14" s="15">
        <f t="shared" si="7"/>
        <v>-9.8754518167837826E-2</v>
      </c>
      <c r="K14" s="12">
        <f t="shared" si="8"/>
        <v>-31.788105387782373</v>
      </c>
      <c r="L14" s="5">
        <f t="shared" si="9"/>
        <v>-88.525090651250764</v>
      </c>
      <c r="M14" s="5">
        <f t="shared" si="10"/>
        <v>6.3397446628476208</v>
      </c>
      <c r="N14" s="5">
        <f t="shared" si="11"/>
        <v>61.186380338272969</v>
      </c>
      <c r="O14" s="5">
        <f t="shared" si="12"/>
        <v>-2.617722276374888E-2</v>
      </c>
      <c r="P14" s="15">
        <f t="shared" si="13"/>
        <v>-4.446047474525348</v>
      </c>
      <c r="Q14" s="5">
        <f t="shared" si="22"/>
        <v>-1.3149936580596211E-3</v>
      </c>
      <c r="R14" s="5">
        <f t="shared" si="23"/>
        <v>-0.99696829552674737</v>
      </c>
      <c r="S14" s="12">
        <f t="shared" si="14"/>
        <v>1.0635571396248425E-2</v>
      </c>
      <c r="T14" s="5">
        <f t="shared" si="15"/>
        <v>2.8347989096976138</v>
      </c>
      <c r="U14" s="5">
        <f t="shared" si="16"/>
        <v>-4.7715983277386142E-3</v>
      </c>
      <c r="V14" s="15">
        <f t="shared" si="17"/>
        <v>-2.836714935976627</v>
      </c>
      <c r="W14" s="12">
        <v>0</v>
      </c>
      <c r="X14" s="15">
        <f t="shared" si="18"/>
        <v>-0.1923655128378185</v>
      </c>
      <c r="Y14" s="12">
        <f t="shared" si="24"/>
        <v>-6.1140116286050641E-6</v>
      </c>
      <c r="Z14" s="15">
        <f t="shared" si="25"/>
        <v>-6.7981940335143445E-2</v>
      </c>
      <c r="AA14" s="5">
        <f t="shared" si="19"/>
        <v>24.681987299339372</v>
      </c>
      <c r="AB14" s="5">
        <f t="shared" si="20"/>
        <v>69.703558796434194</v>
      </c>
      <c r="AC14" s="5">
        <f t="shared" si="26"/>
        <v>24.655810076575623</v>
      </c>
      <c r="AD14" s="6">
        <f t="shared" si="27"/>
        <v>65.257511321908851</v>
      </c>
    </row>
    <row r="15" spans="1:34">
      <c r="A15" s="4">
        <v>2.2000000000000002</v>
      </c>
      <c r="B15" s="19">
        <f t="shared" si="21"/>
        <v>1584.8931924611154</v>
      </c>
      <c r="C15" s="12">
        <f t="shared" si="0"/>
        <v>2.1981703698966512E-3</v>
      </c>
      <c r="D15" s="5">
        <f t="shared" si="1"/>
        <v>-1.2889700704935438</v>
      </c>
      <c r="E15" s="5">
        <f t="shared" si="2"/>
        <v>-21.887380514902112</v>
      </c>
      <c r="F15" s="5">
        <f t="shared" si="3"/>
        <v>-85.384450387641479</v>
      </c>
      <c r="G15" s="5">
        <f t="shared" si="4"/>
        <v>2.7475747106531556E-2</v>
      </c>
      <c r="H15" s="5">
        <f t="shared" si="5"/>
        <v>4.5548726948051383</v>
      </c>
      <c r="I15" s="5">
        <f t="shared" si="6"/>
        <v>-2.0448094000431741E-5</v>
      </c>
      <c r="J15" s="15">
        <f t="shared" si="7"/>
        <v>-0.124324500443061</v>
      </c>
      <c r="K15" s="12">
        <f t="shared" si="8"/>
        <v>-33.787043439331988</v>
      </c>
      <c r="L15" s="5">
        <f t="shared" si="9"/>
        <v>-88.828342358689866</v>
      </c>
      <c r="M15" s="5">
        <f t="shared" si="10"/>
        <v>7.9505181653380728</v>
      </c>
      <c r="N15" s="5">
        <f t="shared" si="11"/>
        <v>66.39796479449582</v>
      </c>
      <c r="O15" s="5">
        <f t="shared" si="12"/>
        <v>-4.1415287201203396E-2</v>
      </c>
      <c r="P15" s="15">
        <f t="shared" si="13"/>
        <v>-5.5906928546222279</v>
      </c>
      <c r="Q15" s="5">
        <f t="shared" si="22"/>
        <v>-2.0839399890951221E-3</v>
      </c>
      <c r="R15" s="5">
        <f t="shared" si="23"/>
        <v>-1.2550346452872989</v>
      </c>
      <c r="S15" s="12">
        <f t="shared" si="14"/>
        <v>1.6844193916419007E-2</v>
      </c>
      <c r="T15" s="5">
        <f t="shared" si="15"/>
        <v>3.5670994346331484</v>
      </c>
      <c r="U15" s="5">
        <f t="shared" si="16"/>
        <v>-7.5618852057377246E-3</v>
      </c>
      <c r="V15" s="15">
        <f t="shared" si="17"/>
        <v>-3.5709184509689251</v>
      </c>
      <c r="W15" s="12">
        <v>0</v>
      </c>
      <c r="X15" s="15">
        <f t="shared" si="18"/>
        <v>-0.24217383246434704</v>
      </c>
      <c r="Y15" s="12">
        <f t="shared" si="24"/>
        <v>-9.6900514205164675E-6</v>
      </c>
      <c r="Z15" s="15">
        <f t="shared" si="25"/>
        <v>-8.5584168740588856E-2</v>
      </c>
      <c r="AA15" s="5">
        <f t="shared" si="19"/>
        <v>22.323808901434059</v>
      </c>
      <c r="AB15" s="5">
        <f t="shared" si="20"/>
        <v>73.740138509204982</v>
      </c>
      <c r="AC15" s="5">
        <f t="shared" si="26"/>
        <v>22.282393614232856</v>
      </c>
      <c r="AD15" s="6">
        <f t="shared" si="27"/>
        <v>68.149445654582749</v>
      </c>
    </row>
    <row r="16" spans="1:34">
      <c r="A16" s="4">
        <v>2.2999999999999998</v>
      </c>
      <c r="B16" s="19">
        <f t="shared" si="21"/>
        <v>1995.2623149688802</v>
      </c>
      <c r="C16" s="12">
        <f t="shared" si="0"/>
        <v>3.4833497582802426E-3</v>
      </c>
      <c r="D16" s="5">
        <f t="shared" si="1"/>
        <v>-1.6225571040120532</v>
      </c>
      <c r="E16" s="5">
        <f t="shared" si="2"/>
        <v>-23.876989875941206</v>
      </c>
      <c r="F16" s="5">
        <f t="shared" si="3"/>
        <v>-86.33081150644513</v>
      </c>
      <c r="G16" s="5">
        <f t="shared" si="4"/>
        <v>4.3465923690849284E-2</v>
      </c>
      <c r="H16" s="5">
        <f t="shared" si="5"/>
        <v>5.7272040572286853</v>
      </c>
      <c r="I16" s="5">
        <f t="shared" si="6"/>
        <v>-3.2408000357572653E-5</v>
      </c>
      <c r="J16" s="15">
        <f t="shared" si="7"/>
        <v>-0.15651512924208483</v>
      </c>
      <c r="K16" s="12">
        <f t="shared" si="8"/>
        <v>-35.786373261524275</v>
      </c>
      <c r="L16" s="5">
        <f t="shared" si="9"/>
        <v>-89.069271378268112</v>
      </c>
      <c r="M16" s="5">
        <f t="shared" si="10"/>
        <v>9.6856780452127502</v>
      </c>
      <c r="N16" s="5">
        <f t="shared" si="11"/>
        <v>70.859795836561759</v>
      </c>
      <c r="O16" s="5">
        <f t="shared" si="12"/>
        <v>-6.5457004434787497E-2</v>
      </c>
      <c r="P16" s="15">
        <f t="shared" si="13"/>
        <v>-7.0252685188846531</v>
      </c>
      <c r="Q16" s="5">
        <f t="shared" si="22"/>
        <v>-3.302358981219515E-3</v>
      </c>
      <c r="R16" s="5">
        <f t="shared" si="23"/>
        <v>-1.5798472457547021</v>
      </c>
      <c r="S16" s="12">
        <f t="shared" si="14"/>
        <v>2.6666052486810102E-2</v>
      </c>
      <c r="T16" s="5">
        <f t="shared" si="15"/>
        <v>4.4873257931958337</v>
      </c>
      <c r="U16" s="5">
        <f t="shared" si="16"/>
        <v>-1.198330121568782E-2</v>
      </c>
      <c r="V16" s="15">
        <f t="shared" si="17"/>
        <v>-4.4949332475164034</v>
      </c>
      <c r="W16" s="12">
        <v>0</v>
      </c>
      <c r="X16" s="15">
        <f t="shared" si="18"/>
        <v>-0.30487879176094945</v>
      </c>
      <c r="Y16" s="12">
        <f t="shared" si="24"/>
        <v>-1.5357686507960409E-5</v>
      </c>
      <c r="Z16" s="15">
        <f t="shared" si="25"/>
        <v>-0.10774403800536084</v>
      </c>
      <c r="AA16" s="5">
        <f t="shared" si="19"/>
        <v>20.091469350076927</v>
      </c>
      <c r="AB16" s="5">
        <f t="shared" si="20"/>
        <v>77.407767245981475</v>
      </c>
      <c r="AC16" s="5">
        <f t="shared" si="26"/>
        <v>20.02601234564214</v>
      </c>
      <c r="AD16" s="6">
        <f t="shared" si="27"/>
        <v>70.382498727096817</v>
      </c>
    </row>
    <row r="17" spans="1:30">
      <c r="A17" s="4">
        <v>2.4</v>
      </c>
      <c r="B17" s="19">
        <f t="shared" si="21"/>
        <v>2511.8864315095807</v>
      </c>
      <c r="C17" s="12">
        <f t="shared" si="0"/>
        <v>5.5194431094021147E-3</v>
      </c>
      <c r="D17" s="5">
        <f t="shared" si="1"/>
        <v>-2.0423591296798631</v>
      </c>
      <c r="E17" s="5">
        <f t="shared" si="2"/>
        <v>-25.870421011612326</v>
      </c>
      <c r="F17" s="5">
        <f t="shared" si="3"/>
        <v>-87.083989504607231</v>
      </c>
      <c r="G17" s="5">
        <f t="shared" si="4"/>
        <v>6.8688662868337261E-2</v>
      </c>
      <c r="H17" s="5">
        <f t="shared" si="5"/>
        <v>7.1961540540294671</v>
      </c>
      <c r="I17" s="5">
        <f t="shared" si="6"/>
        <v>-5.1363107058122434E-5</v>
      </c>
      <c r="J17" s="15">
        <f t="shared" si="7"/>
        <v>-0.1970405868664174</v>
      </c>
      <c r="K17" s="12">
        <f t="shared" si="8"/>
        <v>-37.785950354696354</v>
      </c>
      <c r="L17" s="5">
        <f t="shared" si="9"/>
        <v>-89.260671978524257</v>
      </c>
      <c r="M17" s="5">
        <f t="shared" si="10"/>
        <v>11.509863771257365</v>
      </c>
      <c r="N17" s="5">
        <f t="shared" si="11"/>
        <v>74.58725756667485</v>
      </c>
      <c r="O17" s="5">
        <f t="shared" si="12"/>
        <v>-0.10329001743905088</v>
      </c>
      <c r="P17" s="15">
        <f t="shared" si="13"/>
        <v>-8.8185780462618037</v>
      </c>
      <c r="Q17" s="5">
        <f t="shared" si="22"/>
        <v>-5.2327230211146047E-3</v>
      </c>
      <c r="R17" s="5">
        <f t="shared" si="23"/>
        <v>-1.9886151489575756</v>
      </c>
      <c r="S17" s="12">
        <f t="shared" si="14"/>
        <v>4.2187291359481863E-2</v>
      </c>
      <c r="T17" s="5">
        <f t="shared" si="15"/>
        <v>5.6424754788682518</v>
      </c>
      <c r="U17" s="5">
        <f t="shared" si="16"/>
        <v>-1.8988533362761097E-2</v>
      </c>
      <c r="V17" s="15">
        <f t="shared" si="17"/>
        <v>-5.6576150312004243</v>
      </c>
      <c r="W17" s="12">
        <v>0</v>
      </c>
      <c r="X17" s="15">
        <f t="shared" si="18"/>
        <v>-0.38381965846496141</v>
      </c>
      <c r="Y17" s="12">
        <f t="shared" si="24"/>
        <v>-2.4340267629658012E-5</v>
      </c>
      <c r="Z17" s="15">
        <f t="shared" si="25"/>
        <v>-0.13564161389761448</v>
      </c>
      <c r="AA17" s="5">
        <f t="shared" si="19"/>
        <v>17.956463384804838</v>
      </c>
      <c r="AB17" s="5">
        <f t="shared" si="20"/>
        <v>80.67613444737421</v>
      </c>
      <c r="AC17" s="5">
        <f t="shared" si="26"/>
        <v>17.853173367365788</v>
      </c>
      <c r="AD17" s="6">
        <f t="shared" si="27"/>
        <v>71.857556401112404</v>
      </c>
    </row>
    <row r="18" spans="1:30">
      <c r="A18" s="4">
        <v>2.5</v>
      </c>
      <c r="B18" s="19">
        <f t="shared" si="21"/>
        <v>3162.2776601683827</v>
      </c>
      <c r="C18" s="12">
        <f t="shared" si="0"/>
        <v>8.7444795278470242E-3</v>
      </c>
      <c r="D18" s="5">
        <f t="shared" si="1"/>
        <v>-2.5705413023875838</v>
      </c>
      <c r="E18" s="5">
        <f t="shared" si="2"/>
        <v>-27.866271220369818</v>
      </c>
      <c r="F18" s="5">
        <f t="shared" si="3"/>
        <v>-87.682992454364083</v>
      </c>
      <c r="G18" s="5">
        <f t="shared" si="4"/>
        <v>0.10836634809214446</v>
      </c>
      <c r="H18" s="5">
        <f t="shared" si="5"/>
        <v>9.0317991201879799</v>
      </c>
      <c r="I18" s="5">
        <f t="shared" si="6"/>
        <v>-8.1404757166991576E-5</v>
      </c>
      <c r="J18" s="15">
        <f t="shared" si="7"/>
        <v>-0.24805882998959436</v>
      </c>
      <c r="K18" s="12">
        <f t="shared" si="8"/>
        <v>-39.785683497336343</v>
      </c>
      <c r="L18" s="5">
        <f t="shared" si="9"/>
        <v>-89.412718848997031</v>
      </c>
      <c r="M18" s="5">
        <f t="shared" si="10"/>
        <v>13.395154815923346</v>
      </c>
      <c r="N18" s="5">
        <f t="shared" si="11"/>
        <v>77.648089992807769</v>
      </c>
      <c r="O18" s="5">
        <f t="shared" si="12"/>
        <v>-0.16258426561410644</v>
      </c>
      <c r="P18" s="15">
        <f t="shared" si="13"/>
        <v>-11.051316767295946</v>
      </c>
      <c r="Q18" s="5">
        <f t="shared" si="22"/>
        <v>-8.2903873858568566E-3</v>
      </c>
      <c r="R18" s="5">
        <f t="shared" si="23"/>
        <v>-2.5029305556209982</v>
      </c>
      <c r="S18" s="12">
        <f t="shared" si="14"/>
        <v>6.6673731674115236E-2</v>
      </c>
      <c r="T18" s="5">
        <f t="shared" si="15"/>
        <v>7.0900957812013239</v>
      </c>
      <c r="U18" s="5">
        <f t="shared" si="16"/>
        <v>-3.0085440714661932E-2</v>
      </c>
      <c r="V18" s="15">
        <f t="shared" si="17"/>
        <v>-7.1201796635121779</v>
      </c>
      <c r="W18" s="12">
        <v>0</v>
      </c>
      <c r="X18" s="15">
        <f t="shared" si="18"/>
        <v>-0.48320032158769854</v>
      </c>
      <c r="Y18" s="12">
        <f t="shared" si="24"/>
        <v>-3.8576661238921431E-5</v>
      </c>
      <c r="Z18" s="15">
        <f t="shared" si="25"/>
        <v>-0.1707624880428292</v>
      </c>
      <c r="AA18" s="5">
        <f t="shared" si="19"/>
        <v>15.899361390269867</v>
      </c>
      <c r="AB18" s="5">
        <f t="shared" si="20"/>
        <v>83.578600429695101</v>
      </c>
      <c r="AC18" s="5">
        <f t="shared" si="26"/>
        <v>15.736777124655761</v>
      </c>
      <c r="AD18" s="6">
        <f t="shared" si="27"/>
        <v>72.527283662399157</v>
      </c>
    </row>
    <row r="19" spans="1:30">
      <c r="A19" s="4">
        <v>2.6</v>
      </c>
      <c r="B19" s="19">
        <f t="shared" si="21"/>
        <v>3981.071705534976</v>
      </c>
      <c r="C19" s="12">
        <f t="shared" si="0"/>
        <v>1.3850917189400191E-2</v>
      </c>
      <c r="D19" s="5">
        <f t="shared" si="1"/>
        <v>-3.2348512324470136</v>
      </c>
      <c r="E19" s="5">
        <f t="shared" si="2"/>
        <v>-29.863650837398485</v>
      </c>
      <c r="F19" s="5">
        <f t="shared" si="3"/>
        <v>-88.159165225768206</v>
      </c>
      <c r="G19" s="5">
        <f t="shared" si="4"/>
        <v>0.17051799845557142</v>
      </c>
      <c r="H19" s="5">
        <f t="shared" si="5"/>
        <v>11.316019469010659</v>
      </c>
      <c r="I19" s="5">
        <f t="shared" si="6"/>
        <v>-1.2901713824597862E-4</v>
      </c>
      <c r="J19" s="15">
        <f t="shared" si="7"/>
        <v>-0.31228642347314339</v>
      </c>
      <c r="K19" s="12">
        <f t="shared" si="8"/>
        <v>-41.785515113287758</v>
      </c>
      <c r="L19" s="5">
        <f t="shared" si="9"/>
        <v>-89.533499970982433</v>
      </c>
      <c r="M19" s="5">
        <f t="shared" si="10"/>
        <v>15.321187731295991</v>
      </c>
      <c r="N19" s="5">
        <f t="shared" si="11"/>
        <v>80.132383214264749</v>
      </c>
      <c r="O19" s="5">
        <f t="shared" si="12"/>
        <v>-0.2549318766421072</v>
      </c>
      <c r="P19" s="15">
        <f t="shared" si="13"/>
        <v>-13.813892392687787</v>
      </c>
      <c r="Q19" s="5">
        <f t="shared" si="22"/>
        <v>-1.3132053444384607E-2</v>
      </c>
      <c r="R19" s="5">
        <f t="shared" si="23"/>
        <v>-3.1498317638413829</v>
      </c>
      <c r="S19" s="12">
        <f t="shared" si="14"/>
        <v>0.10520152134001419</v>
      </c>
      <c r="T19" s="5">
        <f t="shared" si="15"/>
        <v>8.8994764017017314</v>
      </c>
      <c r="U19" s="5">
        <f t="shared" si="16"/>
        <v>-4.7658650679486624E-2</v>
      </c>
      <c r="V19" s="15">
        <f t="shared" si="17"/>
        <v>-8.9591152007607793</v>
      </c>
      <c r="W19" s="12">
        <v>0</v>
      </c>
      <c r="X19" s="15">
        <f t="shared" si="18"/>
        <v>-0.60831316383386724</v>
      </c>
      <c r="Y19" s="12">
        <f t="shared" si="24"/>
        <v>-6.1139728964450081E-5</v>
      </c>
      <c r="Z19" s="15">
        <f t="shared" si="25"/>
        <v>-0.21497686328490972</v>
      </c>
      <c r="AA19" s="5">
        <f t="shared" si="19"/>
        <v>13.911483898881146</v>
      </c>
      <c r="AB19" s="5">
        <f t="shared" si="20"/>
        <v>86.175839240585418</v>
      </c>
      <c r="AC19" s="5">
        <f t="shared" si="26"/>
        <v>13.656552022239039</v>
      </c>
      <c r="AD19" s="6">
        <f t="shared" si="27"/>
        <v>72.361946847897627</v>
      </c>
    </row>
    <row r="20" spans="1:30">
      <c r="A20" s="4">
        <v>2.7</v>
      </c>
      <c r="B20" s="19">
        <f t="shared" si="21"/>
        <v>5011.8723362727269</v>
      </c>
      <c r="C20" s="12">
        <f t="shared" si="0"/>
        <v>2.1931796694457106E-2</v>
      </c>
      <c r="D20" s="5">
        <f t="shared" si="1"/>
        <v>-4.0699099676689849</v>
      </c>
      <c r="E20" s="5">
        <f t="shared" si="2"/>
        <v>-31.861996673646598</v>
      </c>
      <c r="F20" s="5">
        <f t="shared" si="3"/>
        <v>-88.537587283818155</v>
      </c>
      <c r="G20" s="5">
        <f t="shared" si="4"/>
        <v>0.26723525115405899</v>
      </c>
      <c r="H20" s="5">
        <f t="shared" si="5"/>
        <v>14.139958703744398</v>
      </c>
      <c r="I20" s="5">
        <f t="shared" si="6"/>
        <v>-2.0447660768770448E-4</v>
      </c>
      <c r="J20" s="15">
        <f t="shared" si="7"/>
        <v>-0.3931430372727433</v>
      </c>
      <c r="K20" s="12">
        <f t="shared" si="8"/>
        <v>-43.785408866776336</v>
      </c>
      <c r="L20" s="5">
        <f t="shared" si="9"/>
        <v>-89.629442833651851</v>
      </c>
      <c r="M20" s="5">
        <f t="shared" si="10"/>
        <v>17.273861023852838</v>
      </c>
      <c r="N20" s="5">
        <f t="shared" si="11"/>
        <v>82.13325717397133</v>
      </c>
      <c r="O20" s="5">
        <f t="shared" si="12"/>
        <v>-0.39738576327208924</v>
      </c>
      <c r="P20" s="15">
        <f t="shared" si="13"/>
        <v>-17.199671350220004</v>
      </c>
      <c r="Q20" s="5">
        <f t="shared" si="22"/>
        <v>-2.0794537616627883E-2</v>
      </c>
      <c r="R20" s="5">
        <f t="shared" si="23"/>
        <v>-3.9630705996733835</v>
      </c>
      <c r="S20" s="12">
        <f t="shared" si="14"/>
        <v>0.1655723436146086</v>
      </c>
      <c r="T20" s="5">
        <f t="shared" si="15"/>
        <v>11.151768288446663</v>
      </c>
      <c r="U20" s="5">
        <f t="shared" si="16"/>
        <v>-7.5474469345686288E-2</v>
      </c>
      <c r="V20" s="15">
        <f t="shared" si="17"/>
        <v>-11.269561370431733</v>
      </c>
      <c r="W20" s="12">
        <v>0</v>
      </c>
      <c r="X20" s="15">
        <f t="shared" si="18"/>
        <v>-0.76582090027936411</v>
      </c>
      <c r="Y20" s="12">
        <f t="shared" si="24"/>
        <v>-9.6899541286150974E-5</v>
      </c>
      <c r="Z20" s="15">
        <f t="shared" si="25"/>
        <v>-0.27063909332015651</v>
      </c>
      <c r="AA20" s="5">
        <f t="shared" si="19"/>
        <v>11.995497034059236</v>
      </c>
      <c r="AB20" s="5">
        <f t="shared" si="20"/>
        <v>88.525809080046017</v>
      </c>
      <c r="AC20" s="5">
        <f t="shared" si="26"/>
        <v>11.598111270787147</v>
      </c>
      <c r="AD20" s="6">
        <f t="shared" si="27"/>
        <v>71.326137729826016</v>
      </c>
    </row>
    <row r="21" spans="1:30">
      <c r="A21" s="4">
        <v>2.8</v>
      </c>
      <c r="B21" s="19">
        <f t="shared" si="21"/>
        <v>6309.5734448019321</v>
      </c>
      <c r="C21" s="12">
        <f t="shared" si="0"/>
        <v>3.4708407405235141E-2</v>
      </c>
      <c r="D21" s="5">
        <f t="shared" si="1"/>
        <v>-5.1186866574980447</v>
      </c>
      <c r="E21" s="5">
        <f t="shared" si="2"/>
        <v>-33.86095264260593</v>
      </c>
      <c r="F21" s="5">
        <f t="shared" si="3"/>
        <v>-88.838271193800139</v>
      </c>
      <c r="G21" s="5">
        <f t="shared" si="4"/>
        <v>0.41624182646776242</v>
      </c>
      <c r="H21" s="5">
        <f t="shared" si="5"/>
        <v>17.59661973308928</v>
      </c>
      <c r="I21" s="5">
        <f t="shared" si="6"/>
        <v>-3.2406912148758623E-4</v>
      </c>
      <c r="J21" s="15">
        <f t="shared" si="7"/>
        <v>-0.49493321701089055</v>
      </c>
      <c r="K21" s="12">
        <f t="shared" si="8"/>
        <v>-45.785341828422219</v>
      </c>
      <c r="L21" s="5">
        <f t="shared" si="9"/>
        <v>-89.705654465666498</v>
      </c>
      <c r="M21" s="5">
        <f t="shared" si="10"/>
        <v>19.243732327567145</v>
      </c>
      <c r="N21" s="5">
        <f t="shared" si="11"/>
        <v>83.736727465018319</v>
      </c>
      <c r="O21" s="5">
        <f t="shared" si="12"/>
        <v>-0.61400406401789209</v>
      </c>
      <c r="P21" s="15">
        <f t="shared" si="13"/>
        <v>-21.290594025970076</v>
      </c>
      <c r="Q21" s="5">
        <f t="shared" si="22"/>
        <v>-3.2911131508391096E-2</v>
      </c>
      <c r="R21" s="5">
        <f t="shared" si="23"/>
        <v>-4.9845687419598743</v>
      </c>
      <c r="S21" s="12">
        <f t="shared" si="14"/>
        <v>0.25956714409122583</v>
      </c>
      <c r="T21" s="5">
        <f t="shared" si="15"/>
        <v>13.937669267292851</v>
      </c>
      <c r="U21" s="5">
        <f t="shared" si="16"/>
        <v>-0.11946889814919159</v>
      </c>
      <c r="V21" s="15">
        <f t="shared" si="17"/>
        <v>-14.168993535762581</v>
      </c>
      <c r="W21" s="12">
        <v>0</v>
      </c>
      <c r="X21" s="15">
        <f t="shared" si="18"/>
        <v>-0.96411139224477749</v>
      </c>
      <c r="Y21" s="12">
        <f t="shared" si="24"/>
        <v>-1.5357442126543266E-4</v>
      </c>
      <c r="Z21" s="15">
        <f t="shared" si="25"/>
        <v>-0.34071294990980416</v>
      </c>
      <c r="AA21" s="5">
        <f t="shared" si="19"/>
        <v>10.165970103580376</v>
      </c>
      <c r="AB21" s="5">
        <f t="shared" si="20"/>
        <v>90.655084311547839</v>
      </c>
      <c r="AC21" s="5">
        <f t="shared" si="26"/>
        <v>9.5519660395624832</v>
      </c>
      <c r="AD21" s="6">
        <f t="shared" si="27"/>
        <v>69.364490285577759</v>
      </c>
    </row>
    <row r="22" spans="1:30">
      <c r="A22" s="4">
        <v>2.9</v>
      </c>
      <c r="B22" s="19">
        <f t="shared" si="21"/>
        <v>7943.2823472428208</v>
      </c>
      <c r="C22" s="12">
        <f t="shared" si="0"/>
        <v>5.4881289679672221E-2</v>
      </c>
      <c r="D22" s="5">
        <f t="shared" si="1"/>
        <v>-6.4340612499424745</v>
      </c>
      <c r="E22" s="5">
        <f t="shared" si="2"/>
        <v>-35.860293774391245</v>
      </c>
      <c r="F22" s="5">
        <f t="shared" si="3"/>
        <v>-89.077159339180525</v>
      </c>
      <c r="G22" s="5">
        <f t="shared" si="4"/>
        <v>0.64240362245130456</v>
      </c>
      <c r="H22" s="5">
        <f t="shared" si="5"/>
        <v>21.765487859729934</v>
      </c>
      <c r="I22" s="5">
        <f t="shared" si="6"/>
        <v>-5.1360373689513395E-4</v>
      </c>
      <c r="J22" s="15">
        <f t="shared" si="7"/>
        <v>-0.62307493978344597</v>
      </c>
      <c r="K22" s="12">
        <f t="shared" si="8"/>
        <v>-47.785299529547885</v>
      </c>
      <c r="L22" s="5">
        <f t="shared" si="9"/>
        <v>-89.766192272242463</v>
      </c>
      <c r="M22" s="5">
        <f t="shared" si="10"/>
        <v>21.224614295040169</v>
      </c>
      <c r="N22" s="5">
        <f t="shared" si="11"/>
        <v>85.017590630711894</v>
      </c>
      <c r="O22" s="5">
        <f t="shared" si="12"/>
        <v>-0.93661483311411564</v>
      </c>
      <c r="P22" s="15">
        <f t="shared" si="13"/>
        <v>-26.132404331806786</v>
      </c>
      <c r="Q22" s="5">
        <f t="shared" si="22"/>
        <v>-5.2045660904162988E-2</v>
      </c>
      <c r="R22" s="5">
        <f t="shared" si="23"/>
        <v>-6.2659790782400488</v>
      </c>
      <c r="S22" s="12">
        <f t="shared" si="14"/>
        <v>0.40449308178000021</v>
      </c>
      <c r="T22" s="5">
        <f t="shared" si="15"/>
        <v>17.350425989038623</v>
      </c>
      <c r="U22" s="5">
        <f t="shared" si="16"/>
        <v>-0.18896517488012193</v>
      </c>
      <c r="V22" s="15">
        <f t="shared" si="17"/>
        <v>-17.800727472580252</v>
      </c>
      <c r="W22" s="12">
        <v>0</v>
      </c>
      <c r="X22" s="15">
        <f t="shared" si="18"/>
        <v>-1.2137443314972054</v>
      </c>
      <c r="Y22" s="12">
        <f t="shared" si="24"/>
        <v>-2.4339653776593397E-4</v>
      </c>
      <c r="Z22" s="15">
        <f t="shared" si="25"/>
        <v>-0.4289292336586128</v>
      </c>
      <c r="AA22" s="5">
        <f t="shared" si="19"/>
        <v>8.4499036912305687</v>
      </c>
      <c r="AB22" s="5">
        <f t="shared" si="20"/>
        <v>92.523636562355421</v>
      </c>
      <c r="AC22" s="5">
        <f t="shared" si="26"/>
        <v>7.5132888581164528</v>
      </c>
      <c r="AD22" s="6">
        <f t="shared" si="27"/>
        <v>66.391232230548638</v>
      </c>
    </row>
    <row r="23" spans="1:30">
      <c r="A23" s="4">
        <v>3</v>
      </c>
      <c r="B23" s="18">
        <f t="shared" si="21"/>
        <v>10000</v>
      </c>
      <c r="C23" s="12">
        <f t="shared" si="0"/>
        <v>8.6662444472997341E-2</v>
      </c>
      <c r="D23" s="5">
        <f t="shared" si="1"/>
        <v>-8.0802261912005555</v>
      </c>
      <c r="E23" s="5">
        <f t="shared" si="2"/>
        <v>-37.859878005215194</v>
      </c>
      <c r="F23" s="5">
        <f t="shared" si="3"/>
        <v>-89.266938213598365</v>
      </c>
      <c r="G23" s="5">
        <f t="shared" si="4"/>
        <v>0.97833858981619204</v>
      </c>
      <c r="H23" s="5">
        <f t="shared" si="5"/>
        <v>26.686610102215312</v>
      </c>
      <c r="I23" s="5">
        <f t="shared" si="6"/>
        <v>-8.1397891602972368E-4</v>
      </c>
      <c r="J23" s="15">
        <f t="shared" si="7"/>
        <v>-0.7843867908079345</v>
      </c>
      <c r="K23" s="12">
        <f t="shared" si="8"/>
        <v>-49.785272840550476</v>
      </c>
      <c r="L23" s="5">
        <f t="shared" si="9"/>
        <v>-89.814279539904931</v>
      </c>
      <c r="M23" s="5">
        <f t="shared" si="10"/>
        <v>23.212508185106664</v>
      </c>
      <c r="N23" s="5">
        <f t="shared" si="11"/>
        <v>86.038649441076316</v>
      </c>
      <c r="O23" s="5">
        <f t="shared" si="12"/>
        <v>-1.4033825142958392</v>
      </c>
      <c r="P23" s="15">
        <f t="shared" si="13"/>
        <v>-31.700486548636505</v>
      </c>
      <c r="Q23" s="5">
        <f t="shared" si="22"/>
        <v>-8.2200208034019451E-2</v>
      </c>
      <c r="R23" s="5">
        <f t="shared" si="23"/>
        <v>-7.8701265958336517</v>
      </c>
      <c r="S23" s="12">
        <f t="shared" si="14"/>
        <v>0.62471589375774927</v>
      </c>
      <c r="T23" s="5">
        <f t="shared" si="15"/>
        <v>21.471073927769854</v>
      </c>
      <c r="U23" s="5">
        <f t="shared" si="16"/>
        <v>-0.29852216278622157</v>
      </c>
      <c r="V23" s="15">
        <f t="shared" si="17"/>
        <v>-22.336094458603533</v>
      </c>
      <c r="W23" s="12">
        <v>0</v>
      </c>
      <c r="X23" s="15">
        <f t="shared" si="18"/>
        <v>-1.5280135823429541</v>
      </c>
      <c r="Y23" s="12">
        <f t="shared" si="24"/>
        <v>-3.8575119349709068E-4</v>
      </c>
      <c r="Z23" s="15">
        <f t="shared" si="25"/>
        <v>-0.53998401209295088</v>
      </c>
      <c r="AA23" s="5">
        <f t="shared" si="19"/>
        <v>6.8860247087356692</v>
      </c>
      <c r="AB23" s="5">
        <f t="shared" si="20"/>
        <v>93.976284086676628</v>
      </c>
      <c r="AC23" s="5">
        <f t="shared" si="26"/>
        <v>5.4826421944398298</v>
      </c>
      <c r="AD23" s="6">
        <f t="shared" si="27"/>
        <v>62.275797538040123</v>
      </c>
    </row>
    <row r="24" spans="1:30">
      <c r="A24" s="4">
        <v>3.1</v>
      </c>
      <c r="B24" s="19">
        <f t="shared" si="21"/>
        <v>12589.25411794168</v>
      </c>
      <c r="C24" s="12">
        <f t="shared" si="0"/>
        <v>0.1365605766984179</v>
      </c>
      <c r="D24" s="5">
        <f t="shared" si="1"/>
        <v>-10.133385191066955</v>
      </c>
      <c r="E24" s="5">
        <f t="shared" si="2"/>
        <v>-39.85961565211835</v>
      </c>
      <c r="F24" s="5">
        <f t="shared" si="3"/>
        <v>-89.417696599711348</v>
      </c>
      <c r="G24" s="5">
        <f t="shared" si="4"/>
        <v>1.4626515243549356</v>
      </c>
      <c r="H24" s="5">
        <f t="shared" si="5"/>
        <v>32.32583036931409</v>
      </c>
      <c r="I24" s="5">
        <f t="shared" si="6"/>
        <v>-1.2899989411468784E-3</v>
      </c>
      <c r="J24" s="15">
        <f t="shared" si="7"/>
        <v>-0.98744838449676575</v>
      </c>
      <c r="K24" s="12">
        <f t="shared" si="8"/>
        <v>-51.785256000847156</v>
      </c>
      <c r="L24" s="5">
        <f t="shared" si="9"/>
        <v>-89.852476804107411</v>
      </c>
      <c r="M24" s="5">
        <f t="shared" si="10"/>
        <v>25.204852346046881</v>
      </c>
      <c r="N24" s="5">
        <f t="shared" si="11"/>
        <v>86.851536924765298</v>
      </c>
      <c r="O24" s="5">
        <f t="shared" si="12"/>
        <v>-2.053594907235742</v>
      </c>
      <c r="P24" s="15">
        <f t="shared" si="13"/>
        <v>-37.866599424949285</v>
      </c>
      <c r="Q24" s="5">
        <f t="shared" si="22"/>
        <v>-0.12956716177017313</v>
      </c>
      <c r="R24" s="5">
        <f t="shared" si="23"/>
        <v>-9.8718305101423525</v>
      </c>
      <c r="S24" s="12">
        <f t="shared" si="14"/>
        <v>0.95236736694601143</v>
      </c>
      <c r="T24" s="5">
        <f t="shared" si="15"/>
        <v>26.343226364159168</v>
      </c>
      <c r="U24" s="5">
        <f t="shared" si="16"/>
        <v>-0.47065193008492578</v>
      </c>
      <c r="V24" s="15">
        <f t="shared" si="17"/>
        <v>-27.972820334581957</v>
      </c>
      <c r="W24" s="12">
        <v>0</v>
      </c>
      <c r="X24" s="15">
        <f t="shared" si="18"/>
        <v>-1.9236551283781855</v>
      </c>
      <c r="Y24" s="12">
        <f t="shared" si="24"/>
        <v>-6.1135856061658679E-4</v>
      </c>
      <c r="Z24" s="15">
        <f t="shared" si="25"/>
        <v>-0.67978782329471155</v>
      </c>
      <c r="AA24" s="5">
        <f t="shared" si="19"/>
        <v>5.5203122540013707</v>
      </c>
      <c r="AB24" s="5">
        <f t="shared" si="20"/>
        <v>94.681492882458855</v>
      </c>
      <c r="AC24" s="5">
        <f t="shared" si="26"/>
        <v>3.4667173467656287</v>
      </c>
      <c r="AD24" s="6">
        <f t="shared" si="27"/>
        <v>56.814893457509569</v>
      </c>
    </row>
    <row r="25" spans="1:30">
      <c r="A25" s="4">
        <v>3.2</v>
      </c>
      <c r="B25" s="19">
        <f t="shared" si="21"/>
        <v>15848.931924611155</v>
      </c>
      <c r="C25" s="12">
        <f t="shared" si="0"/>
        <v>0.21448786803903055</v>
      </c>
      <c r="D25" s="5">
        <f t="shared" si="1"/>
        <v>-12.680693085879176</v>
      </c>
      <c r="E25" s="5">
        <f t="shared" si="2"/>
        <v>-41.85945011035011</v>
      </c>
      <c r="F25" s="5">
        <f t="shared" si="3"/>
        <v>-89.537454090930169</v>
      </c>
      <c r="G25" s="5">
        <f t="shared" si="4"/>
        <v>2.1342688557106642</v>
      </c>
      <c r="H25" s="5">
        <f t="shared" si="5"/>
        <v>38.542727288569324</v>
      </c>
      <c r="I25" s="5">
        <f t="shared" si="6"/>
        <v>-2.0443329790652302E-3</v>
      </c>
      <c r="J25" s="15">
        <f t="shared" si="7"/>
        <v>-1.243051888991197</v>
      </c>
      <c r="K25" s="12">
        <f t="shared" si="8"/>
        <v>-53.785245375679082</v>
      </c>
      <c r="L25" s="5">
        <f t="shared" si="9"/>
        <v>-89.882818064662473</v>
      </c>
      <c r="M25" s="5">
        <f t="shared" si="10"/>
        <v>27.200014884854809</v>
      </c>
      <c r="N25" s="5">
        <f t="shared" si="11"/>
        <v>87.498157844567785</v>
      </c>
      <c r="O25" s="5">
        <f t="shared" si="12"/>
        <v>-2.9185342989344654</v>
      </c>
      <c r="P25" s="15">
        <f t="shared" si="13"/>
        <v>-44.388188152791066</v>
      </c>
      <c r="Q25" s="5">
        <f t="shared" si="22"/>
        <v>-0.20359627491361529</v>
      </c>
      <c r="R25" s="5">
        <f t="shared" si="23"/>
        <v>-12.357125151353884</v>
      </c>
      <c r="S25" s="12">
        <f t="shared" si="14"/>
        <v>1.4257873001250014</v>
      </c>
      <c r="T25" s="5">
        <f t="shared" si="15"/>
        <v>31.938667423320322</v>
      </c>
      <c r="U25" s="5">
        <f t="shared" si="16"/>
        <v>-0.73957490575989115</v>
      </c>
      <c r="V25" s="15">
        <f t="shared" si="17"/>
        <v>-34.924739796295462</v>
      </c>
      <c r="W25" s="12">
        <v>0</v>
      </c>
      <c r="X25" s="15">
        <f t="shared" si="18"/>
        <v>-2.4217383246434703</v>
      </c>
      <c r="Y25" s="12">
        <f t="shared" si="24"/>
        <v>-9.6889813583300581E-4</v>
      </c>
      <c r="Z25" s="15">
        <f t="shared" si="25"/>
        <v>-0.85577868005241375</v>
      </c>
      <c r="AA25" s="5">
        <f t="shared" si="19"/>
        <v>4.3945515531894097</v>
      </c>
      <c r="AB25" s="5">
        <f t="shared" si="20"/>
        <v>94.076153473649185</v>
      </c>
      <c r="AC25" s="5">
        <f t="shared" si="26"/>
        <v>1.4760172542549443</v>
      </c>
      <c r="AD25" s="6">
        <f t="shared" si="27"/>
        <v>49.687965320858119</v>
      </c>
    </row>
    <row r="26" spans="1:30">
      <c r="A26" s="4">
        <v>3.3</v>
      </c>
      <c r="B26" s="19">
        <f t="shared" si="21"/>
        <v>19952.623149688803</v>
      </c>
      <c r="C26" s="12">
        <f t="shared" si="0"/>
        <v>0.33519959862017235</v>
      </c>
      <c r="D26" s="5">
        <f t="shared" si="1"/>
        <v>-15.815588955151975</v>
      </c>
      <c r="E26" s="5">
        <f t="shared" si="2"/>
        <v>-43.859345657308815</v>
      </c>
      <c r="F26" s="5">
        <f t="shared" si="3"/>
        <v>-89.632583778960026</v>
      </c>
      <c r="G26" s="5">
        <f t="shared" si="4"/>
        <v>3.0230170750816954</v>
      </c>
      <c r="H26" s="5">
        <f t="shared" si="5"/>
        <v>45.08376487787605</v>
      </c>
      <c r="I26" s="5">
        <f t="shared" si="6"/>
        <v>-3.2396035419479238E-3</v>
      </c>
      <c r="J26" s="15">
        <f t="shared" si="7"/>
        <v>-1.5647660407282782</v>
      </c>
      <c r="K26" s="12">
        <f t="shared" si="8"/>
        <v>-55.785238671637856</v>
      </c>
      <c r="L26" s="5">
        <f t="shared" si="9"/>
        <v>-89.906919032266558</v>
      </c>
      <c r="M26" s="5">
        <f t="shared" si="10"/>
        <v>29.196959878409395</v>
      </c>
      <c r="N26" s="5">
        <f t="shared" si="11"/>
        <v>88.012250006679736</v>
      </c>
      <c r="O26" s="5">
        <f t="shared" si="12"/>
        <v>-4.0116244323487402</v>
      </c>
      <c r="P26" s="15">
        <f t="shared" si="13"/>
        <v>-50.941503782055825</v>
      </c>
      <c r="Q26" s="5">
        <f t="shared" si="22"/>
        <v>-0.31839935762967708</v>
      </c>
      <c r="R26" s="5">
        <f t="shared" si="23"/>
        <v>-15.419136699584552</v>
      </c>
      <c r="S26" s="12">
        <f t="shared" si="14"/>
        <v>2.0841379451638131</v>
      </c>
      <c r="T26" s="5">
        <f t="shared" si="15"/>
        <v>38.124515819904452</v>
      </c>
      <c r="U26" s="5">
        <f t="shared" si="16"/>
        <v>-1.1557638498462524</v>
      </c>
      <c r="V26" s="15">
        <f t="shared" si="17"/>
        <v>-43.394256026800306</v>
      </c>
      <c r="W26" s="12">
        <v>0</v>
      </c>
      <c r="X26" s="15">
        <f t="shared" si="18"/>
        <v>-3.0487879176094945</v>
      </c>
      <c r="Y26" s="12">
        <f t="shared" si="24"/>
        <v>-1.5354998871882511E-3</v>
      </c>
      <c r="Z26" s="15">
        <f t="shared" si="25"/>
        <v>-1.0773146737951071</v>
      </c>
      <c r="AA26" s="5">
        <f t="shared" si="19"/>
        <v>3.5266643997008202</v>
      </c>
      <c r="AB26" s="5">
        <f t="shared" si="20"/>
        <v>91.361177579563943</v>
      </c>
      <c r="AC26" s="5">
        <f t="shared" si="26"/>
        <v>-0.48496003264791998</v>
      </c>
      <c r="AD26" s="6">
        <f t="shared" si="27"/>
        <v>40.419673797508118</v>
      </c>
    </row>
    <row r="27" spans="1:30">
      <c r="A27" s="4">
        <v>3.4</v>
      </c>
      <c r="B27" s="19">
        <f t="shared" si="21"/>
        <v>25118.864315095812</v>
      </c>
      <c r="C27" s="12">
        <f t="shared" si="0"/>
        <v>0.51989678610555612</v>
      </c>
      <c r="D27" s="5">
        <f t="shared" si="1"/>
        <v>-19.626740954459226</v>
      </c>
      <c r="E27" s="5">
        <f t="shared" si="2"/>
        <v>-45.859279750602617</v>
      </c>
      <c r="F27" s="5">
        <f t="shared" si="3"/>
        <v>-89.708149445395577</v>
      </c>
      <c r="G27" s="5">
        <f t="shared" si="4"/>
        <v>4.1400155360265245</v>
      </c>
      <c r="H27" s="5">
        <f t="shared" si="5"/>
        <v>51.620457401720103</v>
      </c>
      <c r="I27" s="5">
        <f t="shared" si="6"/>
        <v>-5.1333061317347436E-3</v>
      </c>
      <c r="J27" s="15">
        <f t="shared" si="7"/>
        <v>-1.9696373936043179</v>
      </c>
      <c r="K27" s="12">
        <f t="shared" si="8"/>
        <v>-57.785234441668493</v>
      </c>
      <c r="L27" s="5">
        <f t="shared" si="9"/>
        <v>-89.926063135209375</v>
      </c>
      <c r="M27" s="5">
        <f t="shared" si="10"/>
        <v>31.195031193329633</v>
      </c>
      <c r="N27" s="5">
        <f t="shared" si="11"/>
        <v>88.42084027718677</v>
      </c>
      <c r="O27" s="5">
        <f t="shared" si="12"/>
        <v>-5.3235283661559496</v>
      </c>
      <c r="P27" s="15">
        <f t="shared" si="13"/>
        <v>-57.195054328310789</v>
      </c>
      <c r="Q27" s="5">
        <f t="shared" si="22"/>
        <v>-0.49435315656678225</v>
      </c>
      <c r="R27" s="5">
        <f t="shared" si="23"/>
        <v>-19.147934569609838</v>
      </c>
      <c r="S27" s="12">
        <f t="shared" si="14"/>
        <v>2.9581587819233728</v>
      </c>
      <c r="T27" s="5">
        <f t="shared" si="15"/>
        <v>44.653973496748613</v>
      </c>
      <c r="U27" s="5">
        <f t="shared" si="16"/>
        <v>-1.7897724205286312</v>
      </c>
      <c r="V27" s="15">
        <f t="shared" si="17"/>
        <v>-53.515490359021776</v>
      </c>
      <c r="W27" s="12">
        <v>0</v>
      </c>
      <c r="X27" s="15">
        <f t="shared" si="18"/>
        <v>-3.8381965846496149</v>
      </c>
      <c r="Y27" s="12">
        <f t="shared" si="24"/>
        <v>-2.4333517528940802E-3</v>
      </c>
      <c r="Z27" s="15">
        <f t="shared" si="25"/>
        <v>-1.3561653534395415</v>
      </c>
      <c r="AA27" s="5">
        <f t="shared" si="19"/>
        <v>2.8877684124114462</v>
      </c>
      <c r="AB27" s="5">
        <f t="shared" si="20"/>
        <v>85.606893380266229</v>
      </c>
      <c r="AC27" s="5">
        <f t="shared" si="26"/>
        <v>-2.4357599537445034</v>
      </c>
      <c r="AD27" s="6">
        <f t="shared" si="27"/>
        <v>28.41183905195544</v>
      </c>
    </row>
    <row r="28" spans="1:30">
      <c r="A28" s="4">
        <v>3.5</v>
      </c>
      <c r="B28" s="19">
        <f t="shared" si="21"/>
        <v>31622.776601683803</v>
      </c>
      <c r="C28" s="12">
        <f t="shared" si="0"/>
        <v>0.79742543720362824</v>
      </c>
      <c r="D28" s="5">
        <f t="shared" si="1"/>
        <v>-24.177474254477893</v>
      </c>
      <c r="E28" s="5">
        <f t="shared" si="2"/>
        <v>-47.859238165767664</v>
      </c>
      <c r="F28" s="5">
        <f t="shared" si="3"/>
        <v>-89.768174124225695</v>
      </c>
      <c r="G28" s="5">
        <f t="shared" si="4"/>
        <v>5.4735850932723507</v>
      </c>
      <c r="H28" s="5">
        <f t="shared" si="5"/>
        <v>57.82538004983963</v>
      </c>
      <c r="I28" s="5">
        <f t="shared" si="6"/>
        <v>-8.1329320777794017E-3</v>
      </c>
      <c r="J28" s="15">
        <f t="shared" si="7"/>
        <v>-2.4790556323869732</v>
      </c>
      <c r="K28" s="12">
        <f t="shared" si="8"/>
        <v>-59.785231772736125</v>
      </c>
      <c r="L28" s="5">
        <f t="shared" si="9"/>
        <v>-89.941269848679042</v>
      </c>
      <c r="M28" s="5">
        <f t="shared" si="10"/>
        <v>33.193813834457742</v>
      </c>
      <c r="N28" s="5">
        <f t="shared" si="11"/>
        <v>88.745511626766344</v>
      </c>
      <c r="O28" s="5">
        <f t="shared" si="12"/>
        <v>-6.8256003055247385</v>
      </c>
      <c r="P28" s="15">
        <f t="shared" si="13"/>
        <v>-62.887251141250943</v>
      </c>
      <c r="Q28" s="5">
        <f t="shared" si="22"/>
        <v>-0.75939306477023416</v>
      </c>
      <c r="R28" s="5">
        <f t="shared" si="23"/>
        <v>-23.611191258808496</v>
      </c>
      <c r="S28" s="12">
        <f t="shared" si="14"/>
        <v>4.0603993223843915</v>
      </c>
      <c r="T28" s="5">
        <f t="shared" si="15"/>
        <v>51.201378736991217</v>
      </c>
      <c r="U28" s="5">
        <f t="shared" si="16"/>
        <v>-2.7312706376921563</v>
      </c>
      <c r="V28" s="15">
        <f t="shared" si="17"/>
        <v>-65.260404030601649</v>
      </c>
      <c r="W28" s="12">
        <v>0</v>
      </c>
      <c r="X28" s="15">
        <f t="shared" si="18"/>
        <v>-4.8320032158769823</v>
      </c>
      <c r="Y28" s="12">
        <f t="shared" si="24"/>
        <v>-3.8559709495343516E-3</v>
      </c>
      <c r="Z28" s="15">
        <f t="shared" si="25"/>
        <v>-1.7071245968306352</v>
      </c>
      <c r="AA28" s="5">
        <f t="shared" si="19"/>
        <v>2.3889736856021213</v>
      </c>
      <c r="AB28" s="5">
        <f t="shared" si="20"/>
        <v>75.995573451709816</v>
      </c>
      <c r="AC28" s="5">
        <f t="shared" si="26"/>
        <v>-4.4366266199226168</v>
      </c>
      <c r="AD28" s="6">
        <f t="shared" si="27"/>
        <v>13.108322310458874</v>
      </c>
    </row>
    <row r="29" spans="1:30">
      <c r="A29" s="4">
        <v>3.6</v>
      </c>
      <c r="B29" s="19">
        <f t="shared" si="21"/>
        <v>39810.717055349771</v>
      </c>
      <c r="C29" s="12">
        <f t="shared" si="0"/>
        <v>1.2038907804309564</v>
      </c>
      <c r="D29" s="5">
        <f t="shared" si="1"/>
        <v>-29.474643422692594</v>
      </c>
      <c r="E29" s="5">
        <f t="shared" si="2"/>
        <v>-49.859211927305758</v>
      </c>
      <c r="F29" s="5">
        <f t="shared" si="3"/>
        <v>-89.815853790484795</v>
      </c>
      <c r="G29" s="5">
        <f t="shared" si="4"/>
        <v>6.9935382221601561</v>
      </c>
      <c r="H29" s="5">
        <f t="shared" si="5"/>
        <v>63.447604448085741</v>
      </c>
      <c r="I29" s="5">
        <f t="shared" si="6"/>
        <v>-1.288277901527243E-2</v>
      </c>
      <c r="J29" s="15">
        <f t="shared" si="7"/>
        <v>-3.1198081880299964</v>
      </c>
      <c r="K29" s="12">
        <f t="shared" si="8"/>
        <v>-61.785230088752819</v>
      </c>
      <c r="L29" s="5">
        <f t="shared" si="9"/>
        <v>-89.953348976546465</v>
      </c>
      <c r="M29" s="5">
        <f t="shared" si="10"/>
        <v>35.193045557323394</v>
      </c>
      <c r="N29" s="5">
        <f t="shared" si="11"/>
        <v>89.00346570059088</v>
      </c>
      <c r="O29" s="5">
        <f t="shared" si="12"/>
        <v>-8.4792602073402357</v>
      </c>
      <c r="P29" s="15">
        <f t="shared" si="13"/>
        <v>-67.868358176713087</v>
      </c>
      <c r="Q29" s="5">
        <f t="shared" si="22"/>
        <v>-1.1488919197553591</v>
      </c>
      <c r="R29" s="5">
        <f t="shared" si="23"/>
        <v>-28.824157997824511</v>
      </c>
      <c r="S29" s="12">
        <f t="shared" si="14"/>
        <v>5.3806221878008467</v>
      </c>
      <c r="T29" s="5">
        <f t="shared" si="15"/>
        <v>57.436688240465173</v>
      </c>
      <c r="U29" s="5">
        <f t="shared" si="16"/>
        <v>-4.076554373739631</v>
      </c>
      <c r="V29" s="15">
        <f t="shared" si="17"/>
        <v>-78.328679067739884</v>
      </c>
      <c r="W29" s="12">
        <v>0</v>
      </c>
      <c r="X29" s="15">
        <f t="shared" si="18"/>
        <v>-6.0831316383386751</v>
      </c>
      <c r="Y29" s="12">
        <f t="shared" si="24"/>
        <v>-6.1097162988863829E-3</v>
      </c>
      <c r="Z29" s="15">
        <f t="shared" si="25"/>
        <v>-2.1487707497674631</v>
      </c>
      <c r="AA29" s="5">
        <f t="shared" si="19"/>
        <v>1.893088485125114</v>
      </c>
      <c r="AB29" s="5">
        <f t="shared" si="20"/>
        <v>62.1393645577174</v>
      </c>
      <c r="AC29" s="5">
        <f t="shared" si="26"/>
        <v>-6.5861717222151217</v>
      </c>
      <c r="AD29" s="6">
        <f t="shared" si="27"/>
        <v>-5.7289936189956876</v>
      </c>
    </row>
    <row r="30" spans="1:30">
      <c r="A30" s="4">
        <v>3.7</v>
      </c>
      <c r="B30" s="19">
        <f t="shared" si="21"/>
        <v>50118.723362727324</v>
      </c>
      <c r="C30" s="12">
        <f t="shared" si="0"/>
        <v>1.7790442571696954</v>
      </c>
      <c r="D30" s="5">
        <f t="shared" si="1"/>
        <v>-35.433008346180344</v>
      </c>
      <c r="E30" s="5">
        <f t="shared" si="2"/>
        <v>-51.859195371873952</v>
      </c>
      <c r="F30" s="5">
        <f t="shared" si="3"/>
        <v>-89.853727280599244</v>
      </c>
      <c r="G30" s="5">
        <f t="shared" si="4"/>
        <v>8.660851706241818</v>
      </c>
      <c r="H30" s="5">
        <f t="shared" si="5"/>
        <v>68.349653292156532</v>
      </c>
      <c r="I30" s="5">
        <f t="shared" si="6"/>
        <v>-2.0400154116280742E-2</v>
      </c>
      <c r="J30" s="15">
        <f t="shared" si="7"/>
        <v>-3.9253391549878467</v>
      </c>
      <c r="K30" s="12">
        <f t="shared" si="8"/>
        <v>-63.785229026230851</v>
      </c>
      <c r="L30" s="5">
        <f t="shared" si="9"/>
        <v>-89.962943771870087</v>
      </c>
      <c r="M30" s="5">
        <f t="shared" si="10"/>
        <v>37.192560737283451</v>
      </c>
      <c r="N30" s="5">
        <f t="shared" si="11"/>
        <v>89.208395212033579</v>
      </c>
      <c r="O30" s="5">
        <f t="shared" si="12"/>
        <v>-10.245610651357719</v>
      </c>
      <c r="P30" s="15">
        <f t="shared" si="13"/>
        <v>-72.096722884237423</v>
      </c>
      <c r="Q30" s="5">
        <f t="shared" si="22"/>
        <v>-1.7024999496285151</v>
      </c>
      <c r="R30" s="5">
        <f t="shared" si="23"/>
        <v>-34.713888015181389</v>
      </c>
      <c r="S30" s="12">
        <f t="shared" si="14"/>
        <v>6.8895792197809245</v>
      </c>
      <c r="T30" s="5">
        <f t="shared" si="15"/>
        <v>63.102334182848118</v>
      </c>
      <c r="U30" s="5">
        <f t="shared" si="16"/>
        <v>-5.9009134919463264</v>
      </c>
      <c r="V30" s="15">
        <f t="shared" si="17"/>
        <v>-92.098920946096626</v>
      </c>
      <c r="W30" s="12">
        <v>0</v>
      </c>
      <c r="X30" s="15">
        <f t="shared" si="18"/>
        <v>-7.6582090027936482</v>
      </c>
      <c r="Y30" s="12">
        <f t="shared" si="24"/>
        <v>-9.6792679566549498E-3</v>
      </c>
      <c r="Z30" s="15">
        <f t="shared" si="25"/>
        <v>-2.7044008864695801</v>
      </c>
      <c r="AA30" s="5">
        <f t="shared" si="19"/>
        <v>1.2549912010008071</v>
      </c>
      <c r="AB30" s="5">
        <f t="shared" si="20"/>
        <v>44.309945282859459</v>
      </c>
      <c r="AC30" s="5">
        <f t="shared" si="26"/>
        <v>-8.9906194503569115</v>
      </c>
      <c r="AD30" s="6">
        <f t="shared" si="27"/>
        <v>-27.786777601377963</v>
      </c>
    </row>
    <row r="31" spans="1:30">
      <c r="A31" s="4">
        <v>3.8</v>
      </c>
      <c r="B31" s="19">
        <f t="shared" si="21"/>
        <v>63095.734448019386</v>
      </c>
      <c r="C31" s="12">
        <f t="shared" si="0"/>
        <v>2.5584941194701094</v>
      </c>
      <c r="D31" s="5">
        <f t="shared" si="1"/>
        <v>-41.852830145322471</v>
      </c>
      <c r="E31" s="5">
        <f t="shared" si="2"/>
        <v>-53.859184926070171</v>
      </c>
      <c r="F31" s="5">
        <f t="shared" si="3"/>
        <v>-89.883811355856366</v>
      </c>
      <c r="G31" s="5">
        <f t="shared" si="4"/>
        <v>10.437021258074395</v>
      </c>
      <c r="H31" s="5">
        <f t="shared" si="5"/>
        <v>72.499703287765115</v>
      </c>
      <c r="I31" s="5">
        <f t="shared" si="6"/>
        <v>-3.2287800797031613E-2</v>
      </c>
      <c r="J31" s="15">
        <f t="shared" si="7"/>
        <v>-4.9371987577328031</v>
      </c>
      <c r="K31" s="12">
        <f t="shared" si="8"/>
        <v>-65.785228355824657</v>
      </c>
      <c r="L31" s="5">
        <f t="shared" si="9"/>
        <v>-89.970565190209442</v>
      </c>
      <c r="M31" s="5">
        <f t="shared" si="10"/>
        <v>39.192254808668444</v>
      </c>
      <c r="N31" s="5">
        <f t="shared" si="11"/>
        <v>89.371191201052653</v>
      </c>
      <c r="O31" s="5">
        <f t="shared" si="12"/>
        <v>-12.091445841555506</v>
      </c>
      <c r="P31" s="15">
        <f t="shared" si="13"/>
        <v>-75.607802826350209</v>
      </c>
      <c r="Q31" s="5">
        <f t="shared" si="22"/>
        <v>-2.4568177055581373</v>
      </c>
      <c r="R31" s="5">
        <f t="shared" si="23"/>
        <v>-41.094052585212204</v>
      </c>
      <c r="S31" s="12">
        <f t="shared" si="14"/>
        <v>8.5485081303002488</v>
      </c>
      <c r="T31" s="5">
        <f t="shared" si="15"/>
        <v>68.053275016491853</v>
      </c>
      <c r="U31" s="5">
        <f t="shared" si="16"/>
        <v>-8.2269959344125816</v>
      </c>
      <c r="V31" s="15">
        <f t="shared" si="17"/>
        <v>-105.73883213894175</v>
      </c>
      <c r="W31" s="12">
        <v>0</v>
      </c>
      <c r="X31" s="15">
        <f t="shared" si="18"/>
        <v>-9.6411139224477829</v>
      </c>
      <c r="Y31" s="12">
        <f t="shared" si="24"/>
        <v>-1.5330623196755964E-2</v>
      </c>
      <c r="Z31" s="15">
        <f t="shared" si="25"/>
        <v>-3.4031619653639114</v>
      </c>
      <c r="AA31" s="5">
        <f t="shared" si="19"/>
        <v>0.37130551293136543</v>
      </c>
      <c r="AB31" s="5">
        <f t="shared" si="20"/>
        <v>23.402603444222905</v>
      </c>
      <c r="AC31" s="5">
        <f t="shared" si="26"/>
        <v>-11.72014032862414</v>
      </c>
      <c r="AD31" s="6">
        <f t="shared" si="27"/>
        <v>-52.205199382127304</v>
      </c>
    </row>
    <row r="32" spans="1:30">
      <c r="A32" s="4">
        <v>3.9</v>
      </c>
      <c r="B32" s="19">
        <f t="shared" si="21"/>
        <v>79432.82347242815</v>
      </c>
      <c r="C32" s="12">
        <f t="shared" si="0"/>
        <v>3.5635225442892349</v>
      </c>
      <c r="D32" s="5">
        <f t="shared" si="1"/>
        <v>-48.434643114153602</v>
      </c>
      <c r="E32" s="5">
        <f t="shared" si="2"/>
        <v>-55.859178335200632</v>
      </c>
      <c r="F32" s="5">
        <f t="shared" si="3"/>
        <v>-89.907708032714837</v>
      </c>
      <c r="G32" s="5">
        <f t="shared" si="4"/>
        <v>12.289617659405724</v>
      </c>
      <c r="H32" s="5">
        <f t="shared" si="5"/>
        <v>75.939209453582222</v>
      </c>
      <c r="I32" s="5">
        <f t="shared" si="6"/>
        <v>-5.106205056422445E-2</v>
      </c>
      <c r="J32" s="15">
        <f t="shared" si="7"/>
        <v>-6.2066035031024454</v>
      </c>
      <c r="K32" s="12">
        <f t="shared" si="8"/>
        <v>-67.785227932826899</v>
      </c>
      <c r="L32" s="5">
        <f t="shared" si="9"/>
        <v>-89.976619098740528</v>
      </c>
      <c r="M32" s="5">
        <f t="shared" si="10"/>
        <v>41.192061769672932</v>
      </c>
      <c r="N32" s="5">
        <f t="shared" si="11"/>
        <v>89.500512016151916</v>
      </c>
      <c r="O32" s="5">
        <f t="shared" si="12"/>
        <v>-13.991281092909674</v>
      </c>
      <c r="P32" s="15">
        <f t="shared" si="13"/>
        <v>-78.479027216213282</v>
      </c>
      <c r="Q32" s="5">
        <f t="shared" si="22"/>
        <v>-3.4352776927370501</v>
      </c>
      <c r="R32" s="5">
        <f t="shared" si="23"/>
        <v>-47.674421686569886</v>
      </c>
      <c r="S32" s="12">
        <f t="shared" si="14"/>
        <v>10.318654123875486</v>
      </c>
      <c r="T32" s="5">
        <f t="shared" si="15"/>
        <v>72.251658554835927</v>
      </c>
      <c r="U32" s="5">
        <f t="shared" si="16"/>
        <v>-11.013619809098858</v>
      </c>
      <c r="V32" s="15">
        <f t="shared" si="17"/>
        <v>-118.45751203768256</v>
      </c>
      <c r="W32" s="12">
        <v>0</v>
      </c>
      <c r="X32" s="15">
        <f t="shared" si="18"/>
        <v>-12.137443314972042</v>
      </c>
      <c r="Y32" s="12">
        <f t="shared" si="24"/>
        <v>-2.4272381071907167E-2</v>
      </c>
      <c r="Z32" s="15">
        <f t="shared" si="25"/>
        <v>-4.281385945012568</v>
      </c>
      <c r="AA32" s="5">
        <f t="shared" si="19"/>
        <v>-0.79390956197870022</v>
      </c>
      <c r="AB32" s="5">
        <f t="shared" si="20"/>
        <v>0.61504329162159799</v>
      </c>
      <c r="AC32" s="5">
        <f t="shared" si="26"/>
        <v>-14.785190654888375</v>
      </c>
      <c r="AD32" s="6">
        <f t="shared" si="27"/>
        <v>-77.863983924591679</v>
      </c>
    </row>
    <row r="33" spans="1:30">
      <c r="A33" s="4">
        <v>4</v>
      </c>
      <c r="B33" s="18">
        <f t="shared" si="21"/>
        <v>100000</v>
      </c>
      <c r="C33" s="12">
        <f t="shared" si="0"/>
        <v>4.7936210584599781</v>
      </c>
      <c r="D33" s="5">
        <f t="shared" si="1"/>
        <v>-54.839930179304616</v>
      </c>
      <c r="E33" s="5">
        <f t="shared" si="2"/>
        <v>-57.85917417663795</v>
      </c>
      <c r="F33" s="5">
        <f t="shared" si="3"/>
        <v>-89.926689861147906</v>
      </c>
      <c r="G33" s="5">
        <f t="shared" si="4"/>
        <v>14.193970362741471</v>
      </c>
      <c r="H33" s="5">
        <f t="shared" si="5"/>
        <v>78.748274275053291</v>
      </c>
      <c r="I33" s="5">
        <f t="shared" si="6"/>
        <v>-8.065197667239965E-2</v>
      </c>
      <c r="J33" s="15">
        <f t="shared" si="7"/>
        <v>-7.7958895554416348</v>
      </c>
      <c r="K33" s="12">
        <f t="shared" si="8"/>
        <v>-69.785227665933334</v>
      </c>
      <c r="L33" s="5">
        <f t="shared" si="9"/>
        <v>-89.981427889595864</v>
      </c>
      <c r="M33" s="5">
        <f t="shared" si="10"/>
        <v>43.191939965885922</v>
      </c>
      <c r="N33" s="5">
        <f t="shared" si="11"/>
        <v>89.603238882275804</v>
      </c>
      <c r="O33" s="5">
        <f t="shared" si="12"/>
        <v>-15.926871692169328</v>
      </c>
      <c r="P33" s="15">
        <f t="shared" si="13"/>
        <v>-80.803011290014922</v>
      </c>
      <c r="Q33" s="5">
        <f t="shared" si="22"/>
        <v>-4.6400571362863383</v>
      </c>
      <c r="R33" s="5">
        <f t="shared" si="23"/>
        <v>-54.116835785734267</v>
      </c>
      <c r="S33" s="12">
        <f t="shared" si="14"/>
        <v>12.167105903024449</v>
      </c>
      <c r="T33" s="5">
        <f t="shared" si="15"/>
        <v>75.735281312304636</v>
      </c>
      <c r="U33" s="5">
        <f t="shared" si="16"/>
        <v>-14.175547643022723</v>
      </c>
      <c r="V33" s="15">
        <f t="shared" si="17"/>
        <v>-129.72781295613476</v>
      </c>
      <c r="W33" s="12">
        <v>0</v>
      </c>
      <c r="X33" s="15">
        <f t="shared" si="18"/>
        <v>-15.280135823429541</v>
      </c>
      <c r="Y33" s="12">
        <f t="shared" si="24"/>
        <v>-3.8406508311962344E-2</v>
      </c>
      <c r="Z33" s="15">
        <f t="shared" si="25"/>
        <v>-5.3840959173935685</v>
      </c>
      <c r="AA33" s="5">
        <f t="shared" si="19"/>
        <v>-2.2215552744753948</v>
      </c>
      <c r="AB33" s="5">
        <f t="shared" si="20"/>
        <v>-22.96602349854842</v>
      </c>
      <c r="AC33" s="5">
        <f t="shared" si="26"/>
        <v>-18.148426966644724</v>
      </c>
      <c r="AD33" s="6">
        <f t="shared" si="27"/>
        <v>-103.76903478856335</v>
      </c>
    </row>
    <row r="34" spans="1:30">
      <c r="A34" s="4">
        <v>4.0999999999999996</v>
      </c>
      <c r="B34" s="19">
        <f t="shared" si="21"/>
        <v>125892.54117941672</v>
      </c>
      <c r="C34" s="12">
        <f t="shared" si="0"/>
        <v>6.2266805817012569</v>
      </c>
      <c r="D34" s="5">
        <f t="shared" si="1"/>
        <v>-60.772625333489046</v>
      </c>
      <c r="E34" s="5">
        <f t="shared" si="2"/>
        <v>-59.85917155276023</v>
      </c>
      <c r="F34" s="5">
        <f t="shared" si="3"/>
        <v>-89.941767675090802</v>
      </c>
      <c r="G34" s="5">
        <f t="shared" si="4"/>
        <v>16.132518819217179</v>
      </c>
      <c r="H34" s="5">
        <f t="shared" si="5"/>
        <v>81.020003156211146</v>
      </c>
      <c r="I34" s="5">
        <f t="shared" si="6"/>
        <v>-0.12713975186002172</v>
      </c>
      <c r="J34" s="15">
        <f t="shared" si="7"/>
        <v>-9.7793760259381255</v>
      </c>
      <c r="K34" s="12">
        <f t="shared" si="8"/>
        <v>-71.785227497534862</v>
      </c>
      <c r="L34" s="5">
        <f t="shared" si="9"/>
        <v>-89.985247648136891</v>
      </c>
      <c r="M34" s="5">
        <f t="shared" si="10"/>
        <v>45.191863111134168</v>
      </c>
      <c r="N34" s="5">
        <f t="shared" si="11"/>
        <v>89.684839582672083</v>
      </c>
      <c r="O34" s="5">
        <f t="shared" si="12"/>
        <v>-17.88573504254304</v>
      </c>
      <c r="P34" s="15">
        <f t="shared" si="13"/>
        <v>-82.671404724781254</v>
      </c>
      <c r="Q34" s="5">
        <f t="shared" si="22"/>
        <v>-6.0512646860105228</v>
      </c>
      <c r="R34" s="5">
        <f t="shared" si="23"/>
        <v>-60.116510881720551</v>
      </c>
      <c r="S34" s="12">
        <f t="shared" si="14"/>
        <v>14.068690800228401</v>
      </c>
      <c r="T34" s="5">
        <f t="shared" si="15"/>
        <v>78.582628650439531</v>
      </c>
      <c r="U34" s="5">
        <f t="shared" si="16"/>
        <v>-17.616228742950231</v>
      </c>
      <c r="V34" s="15">
        <f t="shared" si="17"/>
        <v>-139.34199738942633</v>
      </c>
      <c r="W34" s="12">
        <v>0</v>
      </c>
      <c r="X34" s="15">
        <f t="shared" si="18"/>
        <v>-19.236551283781843</v>
      </c>
      <c r="Y34" s="12">
        <f t="shared" si="24"/>
        <v>-6.071378943837262E-2</v>
      </c>
      <c r="Z34" s="15">
        <f t="shared" si="25"/>
        <v>-6.7665622434197772</v>
      </c>
      <c r="AA34" s="5">
        <f t="shared" si="19"/>
        <v>-3.8691201659957248</v>
      </c>
      <c r="AB34" s="5">
        <f t="shared" si="20"/>
        <v>-46.653167091680601</v>
      </c>
      <c r="AC34" s="5">
        <f t="shared" si="26"/>
        <v>-21.754855208538764</v>
      </c>
      <c r="AD34" s="6">
        <f t="shared" si="27"/>
        <v>-129.32457181646186</v>
      </c>
    </row>
    <row r="35" spans="1:30">
      <c r="A35" s="4">
        <v>4.2</v>
      </c>
      <c r="B35" s="19">
        <f t="shared" si="21"/>
        <v>158489.31924611147</v>
      </c>
      <c r="C35" s="12">
        <f t="shared" si="0"/>
        <v>7.8267005197090747</v>
      </c>
      <c r="D35" s="5">
        <f t="shared" si="1"/>
        <v>-66.038047538083347</v>
      </c>
      <c r="E35" s="5">
        <f t="shared" si="2"/>
        <v>-61.859169897204502</v>
      </c>
      <c r="F35" s="5">
        <f t="shared" si="3"/>
        <v>-89.953744414273359</v>
      </c>
      <c r="G35" s="5">
        <f t="shared" si="4"/>
        <v>18.093293291391184</v>
      </c>
      <c r="H35" s="5">
        <f t="shared" si="5"/>
        <v>82.845369448972932</v>
      </c>
      <c r="I35" s="5">
        <f t="shared" si="6"/>
        <v>-0.19981352205255409</v>
      </c>
      <c r="J35" s="15">
        <f t="shared" si="7"/>
        <v>-12.242681175725778</v>
      </c>
      <c r="K35" s="12">
        <f t="shared" si="8"/>
        <v>-73.785227391282632</v>
      </c>
      <c r="L35" s="5">
        <f t="shared" si="9"/>
        <v>-89.988281790290984</v>
      </c>
      <c r="M35" s="5">
        <f t="shared" si="10"/>
        <v>47.19181461836429</v>
      </c>
      <c r="N35" s="5">
        <f t="shared" si="11"/>
        <v>89.749658250286217</v>
      </c>
      <c r="O35" s="5">
        <f t="shared" si="12"/>
        <v>-19.859577641722058</v>
      </c>
      <c r="P35" s="15">
        <f t="shared" si="13"/>
        <v>-84.166970024958516</v>
      </c>
      <c r="Q35" s="5">
        <f t="shared" si="22"/>
        <v>-7.6339808562719016</v>
      </c>
      <c r="R35" s="5">
        <f t="shared" si="23"/>
        <v>-65.465461788190765</v>
      </c>
      <c r="S35" s="12">
        <f t="shared" si="14"/>
        <v>16.005427605745226</v>
      </c>
      <c r="T35" s="5">
        <f t="shared" si="15"/>
        <v>80.886523372699529</v>
      </c>
      <c r="U35" s="5">
        <f t="shared" si="16"/>
        <v>-21.25113487532467</v>
      </c>
      <c r="V35" s="15">
        <f t="shared" si="17"/>
        <v>-147.33297151378386</v>
      </c>
      <c r="W35" s="12">
        <v>0</v>
      </c>
      <c r="X35" s="15">
        <f t="shared" si="18"/>
        <v>-24.217383246434689</v>
      </c>
      <c r="Y35" s="12">
        <f t="shared" si="24"/>
        <v>-9.5835405384645175E-2</v>
      </c>
      <c r="Z35" s="15">
        <f t="shared" si="25"/>
        <v>-8.4956096281859264</v>
      </c>
      <c r="AA35" s="5">
        <f t="shared" si="19"/>
        <v>-5.6970533700336405</v>
      </c>
      <c r="AB35" s="5">
        <f t="shared" si="20"/>
        <v>-70.252630023010056</v>
      </c>
      <c r="AC35" s="5">
        <f t="shared" si="26"/>
        <v>-25.556631011755698</v>
      </c>
      <c r="AD35" s="6">
        <f t="shared" si="27"/>
        <v>-154.41960004796857</v>
      </c>
    </row>
    <row r="36" spans="1:30">
      <c r="A36" s="4">
        <v>4.3</v>
      </c>
      <c r="B36" s="19">
        <f t="shared" si="21"/>
        <v>199526.23149688792</v>
      </c>
      <c r="C36" s="12">
        <f t="shared" si="0"/>
        <v>9.5539555779343335</v>
      </c>
      <c r="D36" s="5">
        <f t="shared" si="1"/>
        <v>-70.555650539035639</v>
      </c>
      <c r="E36" s="5">
        <f t="shared" si="2"/>
        <v>-63.859168852619121</v>
      </c>
      <c r="F36" s="5">
        <f t="shared" si="3"/>
        <v>-89.963257879297814</v>
      </c>
      <c r="G36" s="5">
        <f t="shared" si="4"/>
        <v>20.068360114900244</v>
      </c>
      <c r="H36" s="5">
        <f t="shared" si="5"/>
        <v>84.305970242664841</v>
      </c>
      <c r="I36" s="5">
        <f t="shared" si="6"/>
        <v>-0.31255912003783187</v>
      </c>
      <c r="J36" s="15">
        <f t="shared" si="7"/>
        <v>-15.278785655511246</v>
      </c>
      <c r="K36" s="12">
        <f t="shared" si="8"/>
        <v>-75.785227324241987</v>
      </c>
      <c r="L36" s="5">
        <f t="shared" si="9"/>
        <v>-89.990691895119809</v>
      </c>
      <c r="M36" s="5">
        <f t="shared" si="10"/>
        <v>49.191784021216378</v>
      </c>
      <c r="N36" s="5">
        <f t="shared" si="11"/>
        <v>89.801146012879386</v>
      </c>
      <c r="O36" s="5">
        <f t="shared" si="12"/>
        <v>-21.842992005651084</v>
      </c>
      <c r="P36" s="15">
        <f t="shared" si="13"/>
        <v>-85.360750953267853</v>
      </c>
      <c r="Q36" s="5">
        <f t="shared" si="22"/>
        <v>-9.3484445148987092</v>
      </c>
      <c r="R36" s="5">
        <f t="shared" si="23"/>
        <v>-70.070638456918203</v>
      </c>
      <c r="S36" s="12">
        <f t="shared" si="14"/>
        <v>17.96503179374006</v>
      </c>
      <c r="T36" s="5">
        <f t="shared" si="15"/>
        <v>82.73836633410501</v>
      </c>
      <c r="U36" s="5">
        <f t="shared" si="16"/>
        <v>-25.016028097209873</v>
      </c>
      <c r="V36" s="15">
        <f t="shared" si="17"/>
        <v>-153.86376692167283</v>
      </c>
      <c r="W36" s="12">
        <v>0</v>
      </c>
      <c r="X36" s="15">
        <f t="shared" si="18"/>
        <v>-30.487879176094925</v>
      </c>
      <c r="Y36" s="12">
        <f t="shared" si="24"/>
        <v>-0.15092407031784399</v>
      </c>
      <c r="Z36" s="15">
        <f t="shared" si="25"/>
        <v>-10.65004171398151</v>
      </c>
      <c r="AA36" s="5">
        <f t="shared" si="19"/>
        <v>-7.6823479292568546</v>
      </c>
      <c r="AB36" s="5">
        <f t="shared" si="20"/>
        <v>-94.01522964798275</v>
      </c>
      <c r="AC36" s="5">
        <f t="shared" si="26"/>
        <v>-29.52533993490794</v>
      </c>
      <c r="AD36" s="6">
        <f t="shared" si="27"/>
        <v>-179.3759806012506</v>
      </c>
    </row>
    <row r="37" spans="1:30">
      <c r="A37" s="4">
        <v>4.4000000000000004</v>
      </c>
      <c r="B37" s="19">
        <f t="shared" si="21"/>
        <v>251188.64315095858</v>
      </c>
      <c r="C37" s="12">
        <f t="shared" si="0"/>
        <v>11.372612525037557</v>
      </c>
      <c r="D37" s="5">
        <f t="shared" si="1"/>
        <v>-74.335525622455393</v>
      </c>
      <c r="E37" s="5">
        <f t="shared" si="2"/>
        <v>-65.859168193530195</v>
      </c>
      <c r="F37" s="5">
        <f t="shared" si="3"/>
        <v>-89.970814694646222</v>
      </c>
      <c r="G37" s="5">
        <f t="shared" si="4"/>
        <v>22.052554371977827</v>
      </c>
      <c r="H37" s="5">
        <f t="shared" si="5"/>
        <v>85.471575227076457</v>
      </c>
      <c r="I37" s="5">
        <f t="shared" si="6"/>
        <v>-0.48546139786895837</v>
      </c>
      <c r="J37" s="15">
        <f t="shared" si="7"/>
        <v>-18.978198928628256</v>
      </c>
      <c r="K37" s="12">
        <f t="shared" si="8"/>
        <v>-77.785227281942213</v>
      </c>
      <c r="L37" s="5">
        <f t="shared" si="9"/>
        <v>-89.992606309457898</v>
      </c>
      <c r="M37" s="5">
        <f t="shared" si="10"/>
        <v>51.19176471561029</v>
      </c>
      <c r="N37" s="5">
        <f t="shared" si="11"/>
        <v>89.842044429390214</v>
      </c>
      <c r="O37" s="5">
        <f t="shared" si="12"/>
        <v>-23.832494492017325</v>
      </c>
      <c r="P37" s="15">
        <f t="shared" si="13"/>
        <v>-86.311941050916204</v>
      </c>
      <c r="Q37" s="5">
        <f t="shared" si="22"/>
        <v>-11.158118580733529</v>
      </c>
      <c r="R37" s="5">
        <f t="shared" si="23"/>
        <v>-73.933425333650433</v>
      </c>
      <c r="S37" s="12">
        <f t="shared" si="14"/>
        <v>19.93934906278151</v>
      </c>
      <c r="T37" s="5">
        <f t="shared" si="15"/>
        <v>84.220477918408861</v>
      </c>
      <c r="U37" s="5">
        <f t="shared" si="16"/>
        <v>-28.865847035052099</v>
      </c>
      <c r="V37" s="15">
        <f t="shared" si="17"/>
        <v>-159.14465980971499</v>
      </c>
      <c r="W37" s="12">
        <v>0</v>
      </c>
      <c r="X37" s="15">
        <f t="shared" si="18"/>
        <v>-38.381965846496222</v>
      </c>
      <c r="Y37" s="12">
        <f t="shared" si="24"/>
        <v>-0.23682710262829465</v>
      </c>
      <c r="Z37" s="15">
        <f t="shared" si="25"/>
        <v>-13.318976409682179</v>
      </c>
      <c r="AA37" s="5">
        <f t="shared" si="19"/>
        <v>-9.8234963740706203</v>
      </c>
      <c r="AB37" s="5">
        <f t="shared" si="20"/>
        <v>-118.52207537985608</v>
      </c>
      <c r="AC37" s="5">
        <f t="shared" si="26"/>
        <v>-33.655990866087947</v>
      </c>
      <c r="AD37" s="6">
        <f t="shared" si="27"/>
        <v>-204.83401643077229</v>
      </c>
    </row>
    <row r="38" spans="1:30">
      <c r="A38" s="4">
        <v>4.5</v>
      </c>
      <c r="B38" s="19">
        <f t="shared" si="21"/>
        <v>316227.76601683837</v>
      </c>
      <c r="C38" s="12">
        <f t="shared" si="0"/>
        <v>13.254169824386812</v>
      </c>
      <c r="D38" s="5">
        <f t="shared" si="1"/>
        <v>-77.44269235444402</v>
      </c>
      <c r="E38" s="5">
        <f t="shared" si="2"/>
        <v>-67.859167777673136</v>
      </c>
      <c r="F38" s="5">
        <f t="shared" si="3"/>
        <v>-89.976817287178491</v>
      </c>
      <c r="G38" s="5">
        <f t="shared" si="4"/>
        <v>24.042551943233555</v>
      </c>
      <c r="H38" s="5">
        <f t="shared" si="5"/>
        <v>86.40017989132663</v>
      </c>
      <c r="I38" s="5">
        <f t="shared" si="6"/>
        <v>-0.74612821795482387</v>
      </c>
      <c r="J38" s="15">
        <f t="shared" si="7"/>
        <v>-23.410056112788769</v>
      </c>
      <c r="K38" s="12">
        <f t="shared" si="8"/>
        <v>-79.785227255252849</v>
      </c>
      <c r="L38" s="5">
        <f t="shared" si="9"/>
        <v>-89.994126982831546</v>
      </c>
      <c r="M38" s="5">
        <f t="shared" si="10"/>
        <v>53.191752534552151</v>
      </c>
      <c r="N38" s="5">
        <f t="shared" si="11"/>
        <v>89.874531313128088</v>
      </c>
      <c r="O38" s="5">
        <f t="shared" si="12"/>
        <v>-25.825857929121192</v>
      </c>
      <c r="P38" s="15">
        <f t="shared" si="13"/>
        <v>-87.068977362994588</v>
      </c>
      <c r="Q38" s="5">
        <f t="shared" si="22"/>
        <v>-13.033592463019355</v>
      </c>
      <c r="R38" s="5">
        <f t="shared" si="23"/>
        <v>-77.114232996407623</v>
      </c>
      <c r="S38" s="12">
        <f t="shared" si="14"/>
        <v>21.923065858268874</v>
      </c>
      <c r="T38" s="5">
        <f t="shared" si="15"/>
        <v>85.403414923988436</v>
      </c>
      <c r="U38" s="5">
        <f t="shared" si="16"/>
        <v>-32.770375173696237</v>
      </c>
      <c r="V38" s="15">
        <f t="shared" si="17"/>
        <v>-163.38650865753434</v>
      </c>
      <c r="W38" s="12">
        <v>0</v>
      </c>
      <c r="X38" s="15">
        <f t="shared" si="18"/>
        <v>-48.32003215876987</v>
      </c>
      <c r="Y38" s="12">
        <f t="shared" si="24"/>
        <v>-0.36958658151584989</v>
      </c>
      <c r="Z38" s="15">
        <f t="shared" si="25"/>
        <v>-16.596037696673623</v>
      </c>
      <c r="AA38" s="5">
        <f t="shared" si="19"/>
        <v>-12.141664766393358</v>
      </c>
      <c r="AB38" s="5">
        <f t="shared" si="20"/>
        <v>-144.56237811818511</v>
      </c>
      <c r="AC38" s="5">
        <f t="shared" si="26"/>
        <v>-37.967522695514546</v>
      </c>
      <c r="AD38" s="6">
        <f t="shared" si="27"/>
        <v>-231.6313554811797</v>
      </c>
    </row>
    <row r="39" spans="1:30">
      <c r="A39" s="4">
        <v>4.5999999999999996</v>
      </c>
      <c r="B39" s="19">
        <f t="shared" si="21"/>
        <v>398107.17055349739</v>
      </c>
      <c r="C39" s="12">
        <f t="shared" si="0"/>
        <v>15.177740546719393</v>
      </c>
      <c r="D39" s="5">
        <f t="shared" si="1"/>
        <v>-79.966380594714792</v>
      </c>
      <c r="E39" s="5">
        <f t="shared" si="2"/>
        <v>-69.859167515285037</v>
      </c>
      <c r="F39" s="5">
        <f t="shared" si="3"/>
        <v>-89.981585316277517</v>
      </c>
      <c r="G39" s="5">
        <f t="shared" si="4"/>
        <v>26.036228963435043</v>
      </c>
      <c r="H39" s="5">
        <f t="shared" si="5"/>
        <v>87.13917260995342</v>
      </c>
      <c r="I39" s="5">
        <f t="shared" si="6"/>
        <v>-1.1296587624796373</v>
      </c>
      <c r="J39" s="15">
        <f t="shared" si="7"/>
        <v>-28.592505607238365</v>
      </c>
      <c r="K39" s="12">
        <f t="shared" si="8"/>
        <v>-81.785227238412986</v>
      </c>
      <c r="L39" s="5">
        <f t="shared" si="9"/>
        <v>-89.995334896634063</v>
      </c>
      <c r="M39" s="5">
        <f t="shared" si="10"/>
        <v>55.191744848806479</v>
      </c>
      <c r="N39" s="5">
        <f t="shared" si="11"/>
        <v>89.900336620652141</v>
      </c>
      <c r="O39" s="5">
        <f t="shared" si="12"/>
        <v>-27.82166531687237</v>
      </c>
      <c r="P39" s="15">
        <f t="shared" si="13"/>
        <v>-87.671056427958632</v>
      </c>
      <c r="Q39" s="5">
        <f t="shared" si="22"/>
        <v>-14.953143982365336</v>
      </c>
      <c r="R39" s="5">
        <f t="shared" si="23"/>
        <v>-79.700721489836283</v>
      </c>
      <c r="S39" s="12">
        <f t="shared" si="14"/>
        <v>23.91276034882257</v>
      </c>
      <c r="T39" s="5">
        <f t="shared" si="15"/>
        <v>86.345911509455334</v>
      </c>
      <c r="U39" s="5">
        <f t="shared" si="16"/>
        <v>-36.709857681394411</v>
      </c>
      <c r="V39" s="15">
        <f t="shared" si="17"/>
        <v>-166.77960283205084</v>
      </c>
      <c r="W39" s="12">
        <v>0</v>
      </c>
      <c r="X39" s="15">
        <f t="shared" si="18"/>
        <v>-60.831316383386699</v>
      </c>
      <c r="Y39" s="12">
        <f t="shared" si="24"/>
        <v>-0.57202058266375577</v>
      </c>
      <c r="Z39" s="15">
        <f t="shared" si="25"/>
        <v>-20.566450991810179</v>
      </c>
      <c r="AA39" s="5">
        <f t="shared" si="19"/>
        <v>-14.679728512540189</v>
      </c>
      <c r="AB39" s="5">
        <f t="shared" si="20"/>
        <v>-173.02847737188785</v>
      </c>
      <c r="AC39" s="5">
        <f t="shared" si="26"/>
        <v>-42.501393829412557</v>
      </c>
      <c r="AD39" s="6">
        <f t="shared" si="27"/>
        <v>-260.69953379984645</v>
      </c>
    </row>
    <row r="40" spans="1:30">
      <c r="A40" s="4">
        <v>4.7</v>
      </c>
      <c r="B40" s="19">
        <f t="shared" si="21"/>
        <v>501187.23362727294</v>
      </c>
      <c r="C40" s="12">
        <f t="shared" si="0"/>
        <v>17.128815553237427</v>
      </c>
      <c r="D40" s="5">
        <f t="shared" si="1"/>
        <v>-81.99992734846218</v>
      </c>
      <c r="E40" s="5">
        <f t="shared" si="2"/>
        <v>-71.859167349729333</v>
      </c>
      <c r="F40" s="5">
        <f t="shared" si="3"/>
        <v>-89.985372696599853</v>
      </c>
      <c r="G40" s="5">
        <f t="shared" si="4"/>
        <v>28.032234691030222</v>
      </c>
      <c r="H40" s="5">
        <f t="shared" si="5"/>
        <v>87.726867068962832</v>
      </c>
      <c r="I40" s="5">
        <f t="shared" si="6"/>
        <v>-1.6756421347716026</v>
      </c>
      <c r="J40" s="15">
        <f t="shared" si="7"/>
        <v>-34.456932769079152</v>
      </c>
      <c r="K40" s="12">
        <f t="shared" si="8"/>
        <v>-83.785227227787772</v>
      </c>
      <c r="L40" s="5">
        <f t="shared" si="9"/>
        <v>-89.996294376675493</v>
      </c>
      <c r="M40" s="5">
        <f t="shared" si="10"/>
        <v>57.19173999942182</v>
      </c>
      <c r="N40" s="5">
        <f t="shared" si="11"/>
        <v>89.920834534350249</v>
      </c>
      <c r="O40" s="5">
        <f t="shared" si="12"/>
        <v>-29.819017873303611</v>
      </c>
      <c r="P40" s="15">
        <f t="shared" si="13"/>
        <v>-88.149678351144885</v>
      </c>
      <c r="Q40" s="5">
        <f t="shared" si="22"/>
        <v>-16.901606785745479</v>
      </c>
      <c r="R40" s="5">
        <f t="shared" si="23"/>
        <v>-81.786452230016096</v>
      </c>
      <c r="S40" s="12">
        <f t="shared" si="14"/>
        <v>25.906245406886388</v>
      </c>
      <c r="T40" s="5">
        <f t="shared" si="15"/>
        <v>87.096001944354953</v>
      </c>
      <c r="U40" s="5">
        <f t="shared" si="16"/>
        <v>-40.6715642484547</v>
      </c>
      <c r="V40" s="15">
        <f t="shared" si="17"/>
        <v>-169.48671558370552</v>
      </c>
      <c r="W40" s="12">
        <v>0</v>
      </c>
      <c r="X40" s="15">
        <f t="shared" si="18"/>
        <v>-76.582090027936445</v>
      </c>
      <c r="Y40" s="12">
        <f t="shared" si="24"/>
        <v>-0.87469752374367771</v>
      </c>
      <c r="Z40" s="15">
        <f t="shared" si="25"/>
        <v>-25.284075402004209</v>
      </c>
      <c r="AA40" s="5">
        <f t="shared" si="19"/>
        <v>-17.497997077379207</v>
      </c>
      <c r="AB40" s="5">
        <f t="shared" si="20"/>
        <v>-204.83415688681092</v>
      </c>
      <c r="AC40" s="5">
        <f t="shared" si="26"/>
        <v>-47.317014950682818</v>
      </c>
      <c r="AD40" s="6">
        <f t="shared" si="27"/>
        <v>-292.98383523795582</v>
      </c>
    </row>
    <row r="41" spans="1:30">
      <c r="A41" s="4">
        <v>4.8</v>
      </c>
      <c r="B41" s="19">
        <f t="shared" si="21"/>
        <v>630957.34448019345</v>
      </c>
      <c r="C41" s="12">
        <f t="shared" si="0"/>
        <v>19.097659949495181</v>
      </c>
      <c r="D41" s="5">
        <f t="shared" si="1"/>
        <v>-83.630069968752736</v>
      </c>
      <c r="E41" s="5">
        <f t="shared" si="2"/>
        <v>-73.859167245270754</v>
      </c>
      <c r="F41" s="5">
        <f t="shared" si="3"/>
        <v>-89.988381119818229</v>
      </c>
      <c r="G41" s="5">
        <f t="shared" si="4"/>
        <v>30.029712584026701</v>
      </c>
      <c r="H41" s="5">
        <f t="shared" si="5"/>
        <v>88.194036709264779</v>
      </c>
      <c r="I41" s="5">
        <f t="shared" si="6"/>
        <v>-2.4210009445767042</v>
      </c>
      <c r="J41" s="15">
        <f t="shared" si="7"/>
        <v>-40.821861536849852</v>
      </c>
      <c r="K41" s="12">
        <f t="shared" si="8"/>
        <v>-85.785227221083716</v>
      </c>
      <c r="L41" s="5">
        <f t="shared" si="9"/>
        <v>-89.997056518764595</v>
      </c>
      <c r="M41" s="5">
        <f t="shared" si="10"/>
        <v>59.191736939664146</v>
      </c>
      <c r="N41" s="5">
        <f t="shared" si="11"/>
        <v>89.937116620651452</v>
      </c>
      <c r="O41" s="5">
        <f t="shared" si="12"/>
        <v>-31.817346618568699</v>
      </c>
      <c r="P41" s="15">
        <f t="shared" si="13"/>
        <v>-88.530048705843853</v>
      </c>
      <c r="Q41" s="5">
        <f t="shared" si="22"/>
        <v>-18.868771490191396</v>
      </c>
      <c r="R41" s="5">
        <f t="shared" si="23"/>
        <v>-83.459246928609076</v>
      </c>
      <c r="S41" s="12">
        <f t="shared" si="14"/>
        <v>27.902129722101808</v>
      </c>
      <c r="T41" s="5">
        <f t="shared" si="15"/>
        <v>87.692543358697279</v>
      </c>
      <c r="U41" s="5">
        <f t="shared" si="16"/>
        <v>-44.647359551438626</v>
      </c>
      <c r="V41" s="15">
        <f t="shared" si="17"/>
        <v>-171.64301097270177</v>
      </c>
      <c r="W41" s="12">
        <v>0</v>
      </c>
      <c r="X41" s="15">
        <f t="shared" si="18"/>
        <v>-90</v>
      </c>
      <c r="Y41" s="12">
        <f t="shared" si="24"/>
        <v>-1.3149818237897504</v>
      </c>
      <c r="Z41" s="15">
        <f t="shared" si="25"/>
        <v>-30.738395398521529</v>
      </c>
      <c r="AA41" s="5">
        <f t="shared" si="19"/>
        <v>-20.664396538785617</v>
      </c>
      <c r="AB41" s="5">
        <f t="shared" si="20"/>
        <v>-234.45432575540428</v>
      </c>
      <c r="AC41" s="5">
        <f t="shared" si="26"/>
        <v>-52.481743157354316</v>
      </c>
      <c r="AD41" s="6">
        <f t="shared" si="27"/>
        <v>-322.98437446124814</v>
      </c>
    </row>
    <row r="42" spans="1:30">
      <c r="A42" s="4">
        <v>4.9000000000000004</v>
      </c>
      <c r="B42" s="19">
        <f t="shared" si="21"/>
        <v>794328.2347242824</v>
      </c>
      <c r="C42" s="12">
        <f t="shared" si="0"/>
        <v>21.077886466166873</v>
      </c>
      <c r="D42" s="5">
        <f t="shared" si="1"/>
        <v>-84.932489394420116</v>
      </c>
      <c r="E42" s="5">
        <f t="shared" si="2"/>
        <v>-75.859167179361833</v>
      </c>
      <c r="F42" s="5">
        <f t="shared" si="3"/>
        <v>-89.990770795369045</v>
      </c>
      <c r="G42" s="5">
        <f t="shared" si="4"/>
        <v>32.028120488134121</v>
      </c>
      <c r="H42" s="5">
        <f t="shared" si="5"/>
        <v>88.56529704141056</v>
      </c>
      <c r="I42" s="5">
        <f t="shared" si="6"/>
        <v>-3.3899131061306194</v>
      </c>
      <c r="J42" s="15">
        <f t="shared" si="7"/>
        <v>-47.400576412264357</v>
      </c>
      <c r="K42" s="12">
        <f t="shared" si="8"/>
        <v>-87.785227216853741</v>
      </c>
      <c r="L42" s="5">
        <f t="shared" si="9"/>
        <v>-89.997661909745574</v>
      </c>
      <c r="M42" s="5">
        <f t="shared" si="10"/>
        <v>61.191735009086479</v>
      </c>
      <c r="N42" s="5">
        <f t="shared" si="11"/>
        <v>89.950049948887113</v>
      </c>
      <c r="O42" s="5">
        <f t="shared" si="12"/>
        <v>-33.816291797110352</v>
      </c>
      <c r="P42" s="15">
        <f t="shared" si="13"/>
        <v>-88.8322816413353</v>
      </c>
      <c r="Q42" s="5">
        <f t="shared" si="22"/>
        <v>-20.847925351687017</v>
      </c>
      <c r="R42" s="5">
        <f t="shared" si="23"/>
        <v>-84.796163864600402</v>
      </c>
      <c r="S42" s="12">
        <f t="shared" si="14"/>
        <v>29.89953089228554</v>
      </c>
      <c r="T42" s="5">
        <f t="shared" si="15"/>
        <v>88.166756338743042</v>
      </c>
      <c r="U42" s="5">
        <f t="shared" si="16"/>
        <v>-48.632070339233749</v>
      </c>
      <c r="V42" s="15">
        <f t="shared" si="17"/>
        <v>-173.35880500446558</v>
      </c>
      <c r="W42" s="12">
        <v>0</v>
      </c>
      <c r="X42" s="15">
        <f t="shared" si="18"/>
        <v>-90</v>
      </c>
      <c r="Y42" s="12">
        <f t="shared" si="24"/>
        <v>-1.9325179030433333</v>
      </c>
      <c r="Z42" s="15">
        <f t="shared" si="25"/>
        <v>-36.819874550601085</v>
      </c>
      <c r="AA42" s="5">
        <f t="shared" si="19"/>
        <v>-24.238675698359785</v>
      </c>
      <c r="AB42" s="5">
        <f t="shared" si="20"/>
        <v>-250.61423860242547</v>
      </c>
      <c r="AC42" s="5">
        <f t="shared" si="26"/>
        <v>-58.054967495470137</v>
      </c>
      <c r="AD42" s="6">
        <f t="shared" si="27"/>
        <v>-339.4465202437608</v>
      </c>
    </row>
    <row r="43" spans="1:30" ht="13.5" thickBot="1">
      <c r="A43" s="7">
        <v>5</v>
      </c>
      <c r="B43" s="20">
        <f t="shared" si="21"/>
        <v>1000000</v>
      </c>
      <c r="C43" s="13">
        <f t="shared" si="0"/>
        <v>23.065363759254996</v>
      </c>
      <c r="D43" s="8">
        <f t="shared" si="1"/>
        <v>-85.970859188544281</v>
      </c>
      <c r="E43" s="8">
        <f t="shared" si="2"/>
        <v>-77.859167137776112</v>
      </c>
      <c r="F43" s="8">
        <f t="shared" si="3"/>
        <v>-89.9926689821542</v>
      </c>
      <c r="G43" s="8">
        <f t="shared" si="4"/>
        <v>34.027115643146651</v>
      </c>
      <c r="H43" s="8">
        <f t="shared" si="5"/>
        <v>88.860287028922116</v>
      </c>
      <c r="I43" s="8">
        <f t="shared" si="6"/>
        <v>-4.5855194399383983</v>
      </c>
      <c r="J43" s="16">
        <f t="shared" si="7"/>
        <v>-53.855327281710288</v>
      </c>
      <c r="K43" s="13">
        <f t="shared" si="8"/>
        <v>-89.785227214184786</v>
      </c>
      <c r="L43" s="8">
        <f t="shared" si="9"/>
        <v>-89.998142788895194</v>
      </c>
      <c r="M43" s="8">
        <f t="shared" si="10"/>
        <v>63.191733790973856</v>
      </c>
      <c r="N43" s="8">
        <f t="shared" si="11"/>
        <v>89.960323260365598</v>
      </c>
      <c r="O43" s="8">
        <f t="shared" si="12"/>
        <v>-35.815626117918448</v>
      </c>
      <c r="P43" s="16">
        <f t="shared" si="13"/>
        <v>-89.07240094297525</v>
      </c>
      <c r="Q43" s="8">
        <f t="shared" si="22"/>
        <v>-22.834720655594815</v>
      </c>
      <c r="R43" s="8">
        <f t="shared" si="23"/>
        <v>-85.862250788822308</v>
      </c>
      <c r="S43" s="13">
        <f t="shared" si="14"/>
        <v>31.897890340991559</v>
      </c>
      <c r="T43" s="8">
        <f t="shared" si="15"/>
        <v>88.543619406840008</v>
      </c>
      <c r="U43" s="8">
        <f t="shared" si="16"/>
        <v>-52.622416726105065</v>
      </c>
      <c r="V43" s="16">
        <f t="shared" si="17"/>
        <v>-174.72320631396528</v>
      </c>
      <c r="W43" s="13">
        <v>0</v>
      </c>
      <c r="X43" s="16">
        <f t="shared" si="18"/>
        <v>-90</v>
      </c>
      <c r="Y43" s="13">
        <f t="shared" si="24"/>
        <v>-2.7606280443612299</v>
      </c>
      <c r="Z43" s="16">
        <f t="shared" si="25"/>
        <v>-43.303807307170665</v>
      </c>
      <c r="AA43" s="5">
        <f t="shared" si="19"/>
        <v>-28.254703141315854</v>
      </c>
      <c r="AB43" s="8">
        <f t="shared" si="20"/>
        <v>-266.34203295513447</v>
      </c>
      <c r="AC43" s="8">
        <f t="shared" si="26"/>
        <v>-64.070329259234299</v>
      </c>
      <c r="AD43" s="17">
        <f t="shared" si="27"/>
        <v>-355.41443389810973</v>
      </c>
    </row>
    <row r="44" spans="1:30" ht="13.5" thickTop="1"/>
  </sheetData>
  <customSheetViews>
    <customSheetView guid="{0F8159A6-236F-4F54-A569-A835A6AD5DA8}" scale="70" state="hidden" topLeftCell="D1">
      <selection activeCell="J47" sqref="J47"/>
      <pageMargins left="0.7" right="0.7" top="0.75" bottom="0.75" header="0.3" footer="0.3"/>
      <pageSetup paperSize="9" orientation="portrait" horizontalDpi="300" verticalDpi="300" r:id="rId1"/>
    </customSheetView>
  </customSheetViews>
  <mergeCells count="7">
    <mergeCell ref="C1:J1"/>
    <mergeCell ref="K1:P1"/>
    <mergeCell ref="AA1:AD1"/>
    <mergeCell ref="A1:B1"/>
    <mergeCell ref="Q1:R1"/>
    <mergeCell ref="Y1:Z1"/>
    <mergeCell ref="S1:X1"/>
  </mergeCells>
  <pageMargins left="0.7" right="0.7" top="0.75" bottom="0.75" header="0.3" footer="0.3"/>
  <pageSetup paperSize="9" orientation="portrait" horizontalDpi="300" verticalDpi="300"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66</vt:i4>
      </vt:variant>
    </vt:vector>
  </HeadingPairs>
  <TitlesOfParts>
    <vt:vector size="69" baseType="lpstr">
      <vt:lpstr>Design Calculation</vt:lpstr>
      <vt:lpstr>LegalDisclaimer</vt:lpstr>
      <vt:lpstr>Frequency Response Calculation</vt:lpstr>
      <vt:lpstr>BST_HS_dead_time</vt:lpstr>
      <vt:lpstr>BST_HS_Rdson</vt:lpstr>
      <vt:lpstr>BST_HS_Vd</vt:lpstr>
      <vt:lpstr>BST_LS_fall_time</vt:lpstr>
      <vt:lpstr>BST_LS_Rdson</vt:lpstr>
      <vt:lpstr>BST_LS_rise_time</vt:lpstr>
      <vt:lpstr>BUCK_HS_Coss</vt:lpstr>
      <vt:lpstr>BUCK_HS_fall_time</vt:lpstr>
      <vt:lpstr>BUCK_HS_Qg</vt:lpstr>
      <vt:lpstr>BUCK_HS_Rdson</vt:lpstr>
      <vt:lpstr>BUCK_HS_rise_time</vt:lpstr>
      <vt:lpstr>BUCK_LS_dead_time</vt:lpstr>
      <vt:lpstr>BUCK_LS_deadtime</vt:lpstr>
      <vt:lpstr>BUCK_LS_Qg</vt:lpstr>
      <vt:lpstr>BUCK_LS_Qrr</vt:lpstr>
      <vt:lpstr>BUCK_LS_Rdson</vt:lpstr>
      <vt:lpstr>BUCK_LS_Vd</vt:lpstr>
      <vt:lpstr>C_bst_snubber</vt:lpstr>
      <vt:lpstr>C_buck_snubber</vt:lpstr>
      <vt:lpstr>C_ca</vt:lpstr>
      <vt:lpstr>Ccomp</vt:lpstr>
      <vt:lpstr>Cout_c</vt:lpstr>
      <vt:lpstr>Cout_e</vt:lpstr>
      <vt:lpstr>Cp</vt:lpstr>
      <vt:lpstr>DCR</vt:lpstr>
      <vt:lpstr>dVinpkpk</vt:lpstr>
      <vt:lpstr>dVoutpkpk</vt:lpstr>
      <vt:lpstr>eff</vt:lpstr>
      <vt:lpstr>ESR</vt:lpstr>
      <vt:lpstr>fco</vt:lpstr>
      <vt:lpstr>fp</vt:lpstr>
      <vt:lpstr>fp_comp2</vt:lpstr>
      <vt:lpstr>fsw</vt:lpstr>
      <vt:lpstr>fz_comp</vt:lpstr>
      <vt:lpstr>fz_ESR</vt:lpstr>
      <vt:lpstr>fzRHP</vt:lpstr>
      <vt:lpstr>gm_ca</vt:lpstr>
      <vt:lpstr>gm_EA</vt:lpstr>
      <vt:lpstr>gm_PS</vt:lpstr>
      <vt:lpstr>Iavg_limit</vt:lpstr>
      <vt:lpstr>ILpeak</vt:lpstr>
      <vt:lpstr>ILpeak_max</vt:lpstr>
      <vt:lpstr>ILrms</vt:lpstr>
      <vt:lpstr>ILrms_max</vt:lpstr>
      <vt:lpstr>ILvalley</vt:lpstr>
      <vt:lpstr>ILvalley_max</vt:lpstr>
      <vt:lpstr>Iout_limit</vt:lpstr>
      <vt:lpstr>Ioutmax</vt:lpstr>
      <vt:lpstr>K</vt:lpstr>
      <vt:lpstr>L</vt:lpstr>
      <vt:lpstr>Op_mode</vt:lpstr>
      <vt:lpstr>R_1</vt:lpstr>
      <vt:lpstr>R_5</vt:lpstr>
      <vt:lpstr>R_7</vt:lpstr>
      <vt:lpstr>R_ca</vt:lpstr>
      <vt:lpstr>Rcomp</vt:lpstr>
      <vt:lpstr>Rpcb</vt:lpstr>
      <vt:lpstr>tou</vt:lpstr>
      <vt:lpstr>V_m</vt:lpstr>
      <vt:lpstr>Vin</vt:lpstr>
      <vt:lpstr>Vin_eff</vt:lpstr>
      <vt:lpstr>Vin_LP</vt:lpstr>
      <vt:lpstr>Vin_max</vt:lpstr>
      <vt:lpstr>Vin_min</vt:lpstr>
      <vt:lpstr>Vout</vt:lpstr>
      <vt:lpstr>Vout_LP</vt:lpstr>
    </vt:vector>
  </TitlesOfParts>
  <Company>Texas Instruments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a0216859</dc:creator>
  <cp:lastModifiedBy>Alex Kharitonov</cp:lastModifiedBy>
  <dcterms:created xsi:type="dcterms:W3CDTF">2011-04-19T20:45:42Z</dcterms:created>
  <dcterms:modified xsi:type="dcterms:W3CDTF">2024-10-22T12:13:12Z</dcterms:modified>
</cp:coreProperties>
</file>